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lero" sheetId="1" state="visible" r:id="rId1"/>
    <sheet xmlns:r="http://schemas.openxmlformats.org/officeDocument/2006/relationships" name="Léeme" sheetId="2" state="visible" r:id="rId2"/>
    <sheet xmlns:r="http://schemas.openxmlformats.org/officeDocument/2006/relationships" name="Configuración" sheetId="3" state="visible" r:id="rId3"/>
    <sheet xmlns:r="http://schemas.openxmlformats.org/officeDocument/2006/relationships" name="Seguimiento semanal" sheetId="4" state="visible" r:id="rId4"/>
    <sheet xmlns:r="http://schemas.openxmlformats.org/officeDocument/2006/relationships" name="Entregables" sheetId="5" state="visible" r:id="rId5"/>
    <sheet xmlns:r="http://schemas.openxmlformats.org/officeDocument/2006/relationships" name="Riesgos" sheetId="6" state="visible" r:id="rId6"/>
  </sheets>
  <definedNames>
    <definedName name="_xlnm.Print_Area" localSheetId="0">'Tablero'!$A$1:$N$57</definedName>
  </definedNames>
  <calcPr calcId="124519" fullCalcOnLoad="1"/>
</workbook>
</file>

<file path=xl/styles.xml><?xml version="1.0" encoding="utf-8"?>
<styleSheet xmlns="http://schemas.openxmlformats.org/spreadsheetml/2006/main">
  <numFmts count="5">
    <numFmt numFmtId="164" formatCode="yyyy-mm-dd"/>
    <numFmt numFmtId="165" formatCode="DD/MM/YYYY"/>
    <numFmt numFmtId="166" formatCode="+0%;-0%;0%"/>
    <numFmt numFmtId="167" formatCode="0;;&quot;—&quot;"/>
    <numFmt numFmtId="168" formatCode="0;;&quot;&quot;"/>
  </numFmts>
  <fonts count="30">
    <font>
      <name val="Calibri"/>
      <family val="2"/>
      <color theme="1"/>
      <sz val="11"/>
      <scheme val="minor"/>
    </font>
    <font>
      <name val="Arial"/>
      <b val="1"/>
      <color rgb="00FFFFFF"/>
      <sz val="18"/>
    </font>
    <font>
      <name val="Arial"/>
      <color rgb="00B9BFE6"/>
      <sz val="9"/>
    </font>
    <font>
      <name val="Arial"/>
      <b val="1"/>
      <color rgb="00FFFFFF"/>
      <sz val="9"/>
    </font>
    <font>
      <name val="Arial"/>
      <b val="1"/>
      <color rgb="006A0DAD"/>
      <sz val="11"/>
    </font>
    <font>
      <name val="Arial"/>
      <color rgb="00222222"/>
      <sz val="10"/>
    </font>
    <font>
      <name val="Arial"/>
      <b val="1"/>
      <color rgb="001F3FBF"/>
      <sz val="10"/>
    </font>
    <font>
      <name val="Arial"/>
      <color rgb="00666666"/>
      <sz val="9"/>
    </font>
    <font>
      <name val="Arial"/>
      <b val="1"/>
      <color rgb="00222222"/>
      <sz val="10"/>
    </font>
    <font>
      <name val="Arial"/>
      <color rgb="001F3FBF"/>
      <sz val="9"/>
    </font>
    <font>
      <name val="Arial"/>
      <i val="1"/>
      <color rgb="008A8FA8"/>
      <sz val="8"/>
    </font>
    <font>
      <name val="Arial"/>
      <color rgb="001F3FBF"/>
      <sz val="10"/>
    </font>
    <font>
      <name val="Arial"/>
      <color rgb="00666666"/>
      <sz val="8"/>
    </font>
    <font>
      <name val="Arial"/>
      <color rgb="00222222"/>
      <sz val="9"/>
    </font>
    <font>
      <name val="Arial"/>
      <b val="1"/>
      <color rgb="00222222"/>
      <sz val="9"/>
    </font>
    <font>
      <name val="Arial"/>
      <b val="1"/>
      <color rgb="00FFFFFF"/>
      <sz val="20"/>
    </font>
    <font>
      <name val="Arial"/>
      <color rgb="00C9CDEB"/>
      <sz val="10"/>
    </font>
    <font>
      <name val="Arial"/>
      <b val="1"/>
      <color rgb="007FD8CF"/>
      <sz val="9"/>
    </font>
    <font>
      <name val="Arial"/>
      <b val="1"/>
      <color rgb="006A6F8A"/>
      <sz val="8"/>
    </font>
    <font>
      <name val="Arial"/>
      <b val="1"/>
      <color rgb="00140A2E"/>
      <sz val="26"/>
    </font>
    <font>
      <name val="Arial"/>
      <color rgb="006A6F8A"/>
      <sz val="8"/>
    </font>
    <font>
      <name val="Arial"/>
      <b val="1"/>
      <color rgb="00FFFFFF"/>
      <sz val="8"/>
    </font>
    <font>
      <name val="Arial"/>
      <b val="1"/>
      <color rgb="00FFFFFF"/>
      <sz val="22"/>
    </font>
    <font>
      <name val="Arial"/>
      <color rgb="00FFFFFF"/>
      <sz val="8"/>
    </font>
    <font>
      <name val="Arial"/>
      <b val="1"/>
      <color rgb="00140A2E"/>
      <sz val="11"/>
    </font>
    <font>
      <name val="Arial"/>
      <color rgb="008A8FA8"/>
      <sz val="8"/>
    </font>
    <font>
      <name val="Arial"/>
      <color rgb="008A8FA8"/>
      <sz val="7"/>
    </font>
    <font>
      <name val="Arial"/>
      <b val="1"/>
      <color rgb="006A6F8A"/>
      <sz val="10"/>
    </font>
    <font>
      <name val="Arial"/>
      <b val="1"/>
      <color rgb="00140A2E"/>
      <sz val="12"/>
    </font>
    <font>
      <name val="Arial"/>
      <b val="1"/>
      <color rgb="006A0DAD"/>
      <sz val="10"/>
    </font>
  </fonts>
  <fills count="7">
    <fill>
      <patternFill/>
    </fill>
    <fill>
      <patternFill patternType="gray125"/>
    </fill>
    <fill>
      <patternFill patternType="solid">
        <fgColor rgb="00140A2E"/>
      </patternFill>
    </fill>
    <fill>
      <patternFill patternType="solid">
        <fgColor rgb="002A1E5C"/>
      </patternFill>
    </fill>
    <fill>
      <patternFill patternType="solid">
        <fgColor rgb="00FFF8E1"/>
      </patternFill>
    </fill>
    <fill>
      <patternFill patternType="solid">
        <fgColor rgb="00EEEDF5"/>
      </patternFill>
    </fill>
    <fill>
      <patternFill patternType="solid">
        <fgColor rgb="00F5F3FB"/>
      </patternFill>
    </fill>
  </fills>
  <borders count="4">
    <border>
      <left/>
      <right/>
      <top/>
      <bottom/>
      <diagonal/>
    </border>
    <border>
      <left style="thin">
        <color rgb="00DDD8EE"/>
      </left>
      <right style="thin">
        <color rgb="00DDD8EE"/>
      </right>
      <top style="thin">
        <color rgb="00DDD8EE"/>
      </top>
      <bottom style="thin">
        <color rgb="00DDD8EE"/>
      </bottom>
    </border>
    <border>
      <bottom style="thin">
        <color rgb="00DDD8EE"/>
      </bottom>
    </border>
    <border>
      <left style="medium">
        <color rgb="00FFFFFF"/>
      </left>
      <right style="medium">
        <color rgb="00FFFFFF"/>
      </right>
      <top style="medium">
        <color rgb="00FFFFFF"/>
      </top>
      <bottom style="medium">
        <color rgb="00FFFFFF"/>
      </bottom>
    </border>
  </borders>
  <cellStyleXfs count="1">
    <xf numFmtId="0" fontId="0" fillId="0" borderId="0"/>
  </cellStyleXfs>
  <cellXfs count="67">
    <xf numFmtId="0" fontId="0" fillId="0" borderId="0" pivotButton="0" quotePrefix="0" xfId="0"/>
    <xf numFmtId="0" fontId="0" fillId="2" borderId="0" pivotButton="0" quotePrefix="0" xfId="0"/>
    <xf numFmtId="0" fontId="15" fillId="2" borderId="0" applyAlignment="1" pivotButton="0" quotePrefix="0" xfId="0">
      <alignment vertical="bottom"/>
    </xf>
    <xf numFmtId="0" fontId="17" fillId="2" borderId="0" applyAlignment="1" pivotButton="0" quotePrefix="0" xfId="0">
      <alignment horizontal="right" vertical="bottom"/>
    </xf>
    <xf numFmtId="0" fontId="16" fillId="2" borderId="0" pivotButton="0" quotePrefix="0" xfId="0"/>
    <xf numFmtId="0" fontId="18" fillId="6" borderId="0" applyAlignment="1" pivotButton="0" quotePrefix="0" xfId="0">
      <alignment horizontal="left" vertical="center" indent="1"/>
    </xf>
    <xf numFmtId="0" fontId="0" fillId="6" borderId="0" applyAlignment="1" pivotButton="0" quotePrefix="0" xfId="0">
      <alignment horizontal="left" vertical="center" indent="1"/>
    </xf>
    <xf numFmtId="0" fontId="21" fillId="3" borderId="0" applyAlignment="1" pivotButton="0" quotePrefix="0" xfId="0">
      <alignment horizontal="center" vertical="center"/>
    </xf>
    <xf numFmtId="0" fontId="0" fillId="3" borderId="0" applyAlignment="1" pivotButton="0" quotePrefix="0" xfId="0">
      <alignment horizontal="center" vertical="center"/>
    </xf>
    <xf numFmtId="9" fontId="19" fillId="6" borderId="0" applyAlignment="1" pivotButton="0" quotePrefix="0" xfId="0">
      <alignment horizontal="left" vertical="center" indent="1"/>
    </xf>
    <xf numFmtId="2" fontId="19" fillId="6" borderId="0" applyAlignment="1" pivotButton="0" quotePrefix="0" xfId="0">
      <alignment horizontal="left" vertical="center" indent="1"/>
    </xf>
    <xf numFmtId="1" fontId="19" fillId="6" borderId="0" applyAlignment="1" pivotButton="0" quotePrefix="0" xfId="0">
      <alignment horizontal="left" vertical="center" indent="1"/>
    </xf>
    <xf numFmtId="0" fontId="22" fillId="3" borderId="0" applyAlignment="1" pivotButton="0" quotePrefix="0" xfId="0">
      <alignment horizontal="center" vertical="center"/>
    </xf>
    <xf numFmtId="0" fontId="20" fillId="6" borderId="0" applyAlignment="1" pivotButton="0" quotePrefix="0" xfId="0">
      <alignment horizontal="left" vertical="center" indent="1"/>
    </xf>
    <xf numFmtId="0" fontId="14" fillId="6" borderId="0" applyAlignment="1" pivotButton="0" quotePrefix="0" xfId="0">
      <alignment horizontal="left" vertical="center" indent="1"/>
    </xf>
    <xf numFmtId="0" fontId="23" fillId="3" borderId="0" applyAlignment="1" pivotButton="0" quotePrefix="0" xfId="0">
      <alignment horizontal="center" vertical="center"/>
    </xf>
    <xf numFmtId="0" fontId="24" fillId="0" borderId="0" pivotButton="0" quotePrefix="0" xfId="0"/>
    <xf numFmtId="0" fontId="25" fillId="0" borderId="0" pivotButton="0" quotePrefix="0" xfId="0"/>
    <xf numFmtId="0" fontId="26" fillId="0" borderId="0" pivotButton="0" quotePrefix="0" xfId="0"/>
    <xf numFmtId="0" fontId="27" fillId="0" borderId="0" applyAlignment="1" pivotButton="0" quotePrefix="0" xfId="0">
      <alignment horizontal="center" vertical="center"/>
    </xf>
    <xf numFmtId="168" fontId="28" fillId="0" borderId="3" applyAlignment="1" pivotButton="0" quotePrefix="0" xfId="0">
      <alignment horizontal="center" vertical="center"/>
    </xf>
    <xf numFmtId="0" fontId="27" fillId="0" borderId="0" applyAlignment="1" pivotButton="0" quotePrefix="0" xfId="0">
      <alignment horizontal="center"/>
    </xf>
    <xf numFmtId="0" fontId="0" fillId="3" borderId="0" pivotButton="0" quotePrefix="0" xfId="0"/>
    <xf numFmtId="0" fontId="14" fillId="0" borderId="2" applyAlignment="1" pivotButton="0" quotePrefix="0" xfId="0">
      <alignment horizontal="center" vertical="center" wrapText="1"/>
    </xf>
    <xf numFmtId="0" fontId="13" fillId="0" borderId="2" applyAlignment="1" pivotButton="0" quotePrefix="0" xfId="0">
      <alignment horizontal="left" vertical="center" wrapText="1"/>
    </xf>
    <xf numFmtId="0" fontId="0" fillId="0" borderId="2" pivotButton="0" quotePrefix="0" xfId="0"/>
    <xf numFmtId="0" fontId="13" fillId="0" borderId="2" applyAlignment="1" pivotButton="0" quotePrefix="0" xfId="0">
      <alignment horizontal="center" vertical="center" wrapText="1"/>
    </xf>
    <xf numFmtId="0" fontId="9" fillId="4" borderId="2" applyAlignment="1" pivotButton="0" quotePrefix="0" xfId="0">
      <alignment vertical="center" wrapText="1"/>
    </xf>
    <xf numFmtId="0" fontId="0" fillId="4" borderId="2" pivotButton="0" quotePrefix="0" xfId="0"/>
    <xf numFmtId="165" fontId="9" fillId="4" borderId="2" applyAlignment="1" pivotButton="0" quotePrefix="0" xfId="0">
      <alignment horizontal="center" vertical="center"/>
    </xf>
    <xf numFmtId="0" fontId="10" fillId="0" borderId="0" pivotButton="0" quotePrefix="0" xfId="0"/>
    <xf numFmtId="0" fontId="1" fillId="2" borderId="0" applyAlignment="1" pivotButton="0" quotePrefix="0" xfId="0">
      <alignment vertical="bottom"/>
    </xf>
    <xf numFmtId="0" fontId="2" fillId="2" borderId="0" pivotButton="0" quotePrefix="0" xfId="0"/>
    <xf numFmtId="0" fontId="29" fillId="0" borderId="2" applyAlignment="1" pivotButton="0" quotePrefix="0" xfId="0">
      <alignment vertical="top"/>
    </xf>
    <xf numFmtId="0" fontId="5" fillId="0" borderId="2" applyAlignment="1" pivotButton="0" quotePrefix="0" xfId="0">
      <alignment vertical="top" wrapText="1"/>
    </xf>
    <xf numFmtId="0" fontId="3" fillId="3" borderId="1" applyAlignment="1" pivotButton="0" quotePrefix="0" xfId="0">
      <alignment horizontal="center" vertical="center" wrapText="1"/>
    </xf>
    <xf numFmtId="0" fontId="4" fillId="0" borderId="0" pivotButton="0" quotePrefix="0" xfId="0"/>
    <xf numFmtId="0" fontId="3" fillId="3" borderId="0" applyAlignment="1" pivotButton="0" quotePrefix="0" xfId="0">
      <alignment horizontal="center"/>
    </xf>
    <xf numFmtId="0" fontId="5" fillId="0" borderId="2" pivotButton="0" quotePrefix="0" xfId="0"/>
    <xf numFmtId="49" fontId="6" fillId="4" borderId="2" applyAlignment="1" pivotButton="0" quotePrefix="0" xfId="0">
      <alignment horizontal="left"/>
    </xf>
    <xf numFmtId="0" fontId="7" fillId="0" borderId="2" pivotButton="0" quotePrefix="0" xfId="0"/>
    <xf numFmtId="0" fontId="9" fillId="4" borderId="2" applyAlignment="1" pivotButton="0" quotePrefix="0" xfId="0">
      <alignment horizontal="center"/>
    </xf>
    <xf numFmtId="49" fontId="8" fillId="5" borderId="2" applyAlignment="1" pivotButton="0" quotePrefix="0" xfId="0">
      <alignment horizontal="left"/>
    </xf>
    <xf numFmtId="3" fontId="6" fillId="4" borderId="2" applyAlignment="1" pivotButton="0" quotePrefix="0" xfId="0">
      <alignment horizontal="left"/>
    </xf>
    <xf numFmtId="3" fontId="8" fillId="5" borderId="2" applyAlignment="1" pivotButton="0" quotePrefix="0" xfId="0">
      <alignment horizontal="left"/>
    </xf>
    <xf numFmtId="3" fontId="9" fillId="4" borderId="2" applyAlignment="1" pivotButton="0" quotePrefix="0" xfId="0">
      <alignment horizontal="center"/>
    </xf>
    <xf numFmtId="9" fontId="6" fillId="4" borderId="2" applyAlignment="1" pivotButton="0" quotePrefix="0" xfId="0">
      <alignment horizontal="left"/>
    </xf>
    <xf numFmtId="2" fontId="6" fillId="4" borderId="2" applyAlignment="1" pivotButton="0" quotePrefix="0" xfId="0">
      <alignment horizontal="left"/>
    </xf>
    <xf numFmtId="1" fontId="6" fillId="4" borderId="2" applyAlignment="1" pivotButton="0" quotePrefix="0" xfId="0">
      <alignment horizontal="left"/>
    </xf>
    <xf numFmtId="1" fontId="11" fillId="4" borderId="2" applyAlignment="1" pivotButton="0" quotePrefix="0" xfId="0">
      <alignment horizontal="center"/>
    </xf>
    <xf numFmtId="165" fontId="11" fillId="4" borderId="2" applyAlignment="1" pivotButton="0" quotePrefix="0" xfId="0">
      <alignment horizontal="center"/>
    </xf>
    <xf numFmtId="9" fontId="11" fillId="4" borderId="2" applyAlignment="1" pivotButton="0" quotePrefix="0" xfId="0">
      <alignment horizontal="center"/>
    </xf>
    <xf numFmtId="3" fontId="11" fillId="4" borderId="2" applyAlignment="1" pivotButton="0" quotePrefix="0" xfId="0">
      <alignment horizontal="center"/>
    </xf>
    <xf numFmtId="3" fontId="5" fillId="0" borderId="2" applyAlignment="1" pivotButton="0" quotePrefix="0" xfId="0">
      <alignment horizontal="center"/>
    </xf>
    <xf numFmtId="2" fontId="5" fillId="0" borderId="2" applyAlignment="1" pivotButton="0" quotePrefix="0" xfId="0">
      <alignment horizontal="center"/>
    </xf>
    <xf numFmtId="166" fontId="5" fillId="0" borderId="2" applyAlignment="1" pivotButton="0" quotePrefix="0" xfId="0">
      <alignment horizontal="center"/>
    </xf>
    <xf numFmtId="0" fontId="5" fillId="0" borderId="2" applyAlignment="1" pivotButton="0" quotePrefix="0" xfId="0">
      <alignment horizontal="center"/>
    </xf>
    <xf numFmtId="0" fontId="12" fillId="0" borderId="0" pivotButton="0" quotePrefix="0" xfId="0"/>
    <xf numFmtId="0" fontId="11" fillId="4" borderId="2" pivotButton="0" quotePrefix="0" xfId="0"/>
    <xf numFmtId="0" fontId="11" fillId="4" borderId="2" applyAlignment="1" pivotButton="0" quotePrefix="0" xfId="0">
      <alignment horizontal="center"/>
    </xf>
    <xf numFmtId="1" fontId="5" fillId="0" borderId="2" applyAlignment="1" pivotButton="0" quotePrefix="0" xfId="0">
      <alignment horizontal="center"/>
    </xf>
    <xf numFmtId="167" fontId="5" fillId="0" borderId="2" applyAlignment="1" pivotButton="0" quotePrefix="0" xfId="0">
      <alignment horizontal="center"/>
    </xf>
    <xf numFmtId="0" fontId="9" fillId="4" borderId="2" applyAlignment="1" pivotButton="0" quotePrefix="0" xfId="0">
      <alignment horizontal="center" vertical="center" wrapText="1"/>
    </xf>
    <xf numFmtId="0" fontId="9" fillId="4" borderId="2" applyAlignment="1" pivotButton="0" quotePrefix="0" xfId="0">
      <alignment horizontal="left" vertical="center" wrapText="1"/>
    </xf>
    <xf numFmtId="165" fontId="9" fillId="4" borderId="2" applyAlignment="1" pivotButton="0" quotePrefix="0" xfId="0">
      <alignment horizontal="center" vertical="center" wrapText="1"/>
    </xf>
    <xf numFmtId="0" fontId="13" fillId="0" borderId="2" applyAlignment="1" pivotButton="0" quotePrefix="0" xfId="0">
      <alignment horizontal="center" vertical="center"/>
    </xf>
    <xf numFmtId="0" fontId="14" fillId="0" borderId="2" applyAlignment="1" pivotButton="0" quotePrefix="0" xfId="0">
      <alignment horizontal="center" vertical="center"/>
    </xf>
  </cellXfs>
  <cellStyles count="1">
    <cellStyle name="Normal" xfId="0" builtinId="0" hidden="0"/>
  </cellStyles>
  <dxfs count="15">
    <dxf>
      <font>
        <name val="Arial"/>
        <b val="1"/>
        <color rgb="001E7B4A"/>
      </font>
      <fill>
        <patternFill patternType="solid">
          <fgColor rgb="00D9F2E3"/>
        </patternFill>
      </fill>
    </dxf>
    <dxf>
      <font>
        <name val="Arial"/>
        <b val="1"/>
        <color rgb="008A6100"/>
      </font>
      <fill>
        <patternFill patternType="solid">
          <fgColor rgb="00FFF1CC"/>
        </patternFill>
      </fill>
    </dxf>
    <dxf>
      <font>
        <name val="Arial"/>
        <b val="1"/>
        <color rgb="00A61B1B"/>
      </font>
      <fill>
        <patternFill patternType="solid">
          <fgColor rgb="00F8D7D5"/>
        </patternFill>
      </fill>
    </dxf>
    <dxf>
      <fill>
        <patternFill patternType="solid">
          <fgColor rgb="001E7B4A"/>
        </patternFill>
      </fill>
    </dxf>
    <dxf>
      <fill>
        <patternFill patternType="solid">
          <fgColor rgb="00B07D00"/>
        </patternFill>
      </fill>
    </dxf>
    <dxf>
      <fill>
        <patternFill patternType="solid">
          <fgColor rgb="00B42318"/>
        </patternFill>
      </fill>
    </dxf>
    <dxf>
      <fill>
        <patternFill patternType="solid">
          <fgColor rgb="00F2A29B"/>
        </patternFill>
      </fill>
    </dxf>
    <dxf>
      <fill>
        <patternFill patternType="solid">
          <fgColor rgb="00F9CFA4"/>
        </patternFill>
      </fill>
    </dxf>
    <dxf>
      <fill>
        <patternFill patternType="solid">
          <fgColor rgb="00FCECB3"/>
        </patternFill>
      </fill>
    </dxf>
    <dxf>
      <fill>
        <patternFill patternType="solid">
          <fgColor rgb="00D9F2E3"/>
        </patternFill>
      </fill>
    </dxf>
    <dxf>
      <font>
        <name val="Arial"/>
        <b val="1"/>
        <color rgb="00B5541B"/>
      </font>
      <fill>
        <patternFill patternType="solid">
          <fgColor rgb="00FCE4D6"/>
        </patternFill>
      </fill>
    </dxf>
    <dxf>
      <font>
        <name val="Arial"/>
        <b val="1"/>
        <color rgb="00A61B1B"/>
      </font>
    </dxf>
    <dxf>
      <font>
        <name val="Arial"/>
        <b val="1"/>
        <color rgb="008A6100"/>
      </font>
    </dxf>
    <dxf>
      <font>
        <name val="Arial"/>
        <b val="1"/>
        <color rgb="00555577"/>
      </font>
      <fill>
        <patternFill patternType="solid">
          <fgColor rgb="00EEEEF4"/>
        </patternFill>
      </fill>
    </dxf>
    <dxf>
      <font>
        <name val="Arial"/>
        <color rgb="00AAAAAA"/>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harts/chart1.xml><?xml version="1.0" encoding="utf-8"?>
<chartSpace xmlns="http://schemas.openxmlformats.org/drawingml/2006/chart">
  <style val="2"/>
  <chart>
    <plotArea>
      <lineChart>
        <grouping val="standard"/>
        <ser>
          <idx val="0"/>
          <order val="0"/>
          <tx>
            <strRef>
              <f>'Seguimiento semanal'!D5</f>
            </strRef>
          </tx>
          <spPr>
            <a:ln xmlns:a="http://schemas.openxmlformats.org/drawingml/2006/main" w="22000">
              <a:solidFill>
                <a:srgbClr val="8A8FA8"/>
              </a:solidFill>
              <a:prstDash val="dash"/>
            </a:ln>
          </spPr>
          <marker>
            <symbol val="circle"/>
            <size val="5"/>
            <spPr>
              <a:solidFill xmlns:a="http://schemas.openxmlformats.org/drawingml/2006/main">
                <a:srgbClr val="8A8FA8"/>
              </a:solidFill>
              <a:ln xmlns:a="http://schemas.openxmlformats.org/drawingml/2006/main">
                <a:solidFill>
                  <a:srgbClr val="8A8FA8"/>
                </a:solidFill>
                <a:prstDash val="solid"/>
              </a:ln>
            </spPr>
          </marker>
          <cat>
            <numRef>
              <f>'Seguimiento semanal'!$B$6:$B$17</f>
            </numRef>
          </cat>
          <val>
            <numRef>
              <f>'Seguimiento semanal'!$D$6:$D$17</f>
            </numRef>
          </val>
          <smooth val="0"/>
        </ser>
        <ser>
          <idx val="1"/>
          <order val="1"/>
          <tx>
            <strRef>
              <f>'Seguimiento semanal'!E5</f>
            </strRef>
          </tx>
          <spPr>
            <a:ln xmlns:a="http://schemas.openxmlformats.org/drawingml/2006/main" w="22000">
              <a:solidFill>
                <a:srgbClr val="6A0DAD"/>
              </a:solidFill>
              <a:prstDash val="solid"/>
            </a:ln>
          </spPr>
          <marker>
            <symbol val="circle"/>
            <size val="5"/>
            <spPr>
              <a:solidFill xmlns:a="http://schemas.openxmlformats.org/drawingml/2006/main">
                <a:srgbClr val="6A0DAD"/>
              </a:solidFill>
              <a:ln xmlns:a="http://schemas.openxmlformats.org/drawingml/2006/main">
                <a:solidFill>
                  <a:srgbClr val="6A0DAD"/>
                </a:solidFill>
                <a:prstDash val="solid"/>
              </a:ln>
            </spPr>
          </marker>
          <cat>
            <numRef>
              <f>'Seguimiento semanal'!$B$6:$B$17</f>
            </numRef>
          </cat>
          <val>
            <numRef>
              <f>'Seguimiento semanal'!$E$6:$E$17</f>
            </numRef>
          </val>
          <smooth val="0"/>
        </ser>
        <axId val="10"/>
        <axId val="100"/>
      </lineChart>
      <catAx>
        <axId val="10"/>
        <scaling>
          <orientation val="minMax"/>
        </scaling>
        <delete val="0"/>
        <axPos val="l"/>
        <majorTickMark val="none"/>
        <minorTickMark val="none"/>
        <crossAx val="100"/>
        <lblOffset val="100"/>
      </catAx>
      <valAx>
        <axId val="100"/>
        <scaling>
          <orientation val="minMax"/>
          <max val="1"/>
          <min val="0"/>
        </scaling>
        <delete val="0"/>
        <axPos val="l"/>
        <majorGridlines>
          <spPr>
            <a:ln xmlns:a="http://schemas.openxmlformats.org/drawingml/2006/main">
              <a:solidFill>
                <a:srgbClr val="E6E3F0"/>
              </a:solidFill>
              <a:prstDash val="solid"/>
            </a:ln>
          </spPr>
        </majorGridlines>
        <numFmt formatCode="0%" sourceLinked="0"/>
        <majorTickMark val="none"/>
        <minorTickMark val="none"/>
        <crossAx val="10"/>
      </valAx>
    </plotArea>
    <legend>
      <legendPos val="b"/>
    </legend>
    <plotVisOnly val="1"/>
    <dispBlanksAs val="gap"/>
  </chart>
  <spPr>
    <a:ln xmlns:a="http://schemas.openxmlformats.org/drawingml/2006/main">
      <a:noFill/>
      <a:prstDash val="solid"/>
    </a:ln>
  </spPr>
</chartSpace>
</file>

<file path=xl/charts/chart2.xml><?xml version="1.0" encoding="utf-8"?>
<chartSpace xmlns="http://schemas.openxmlformats.org/drawingml/2006/chart">
  <style val="2"/>
  <chart>
    <plotArea>
      <lineChart>
        <grouping val="standard"/>
        <ser>
          <idx val="0"/>
          <order val="0"/>
          <tx>
            <strRef>
              <f>'Seguimiento semanal'!F5</f>
            </strRef>
          </tx>
          <spPr>
            <a:ln xmlns:a="http://schemas.openxmlformats.org/drawingml/2006/main" w="22000">
              <a:solidFill>
                <a:srgbClr val="8A8FA8"/>
              </a:solidFill>
              <a:prstDash val="dash"/>
            </a:ln>
          </spPr>
          <marker>
            <symbol val="circle"/>
            <size val="5"/>
            <spPr>
              <a:solidFill xmlns:a="http://schemas.openxmlformats.org/drawingml/2006/main">
                <a:srgbClr val="8A8FA8"/>
              </a:solidFill>
              <a:ln xmlns:a="http://schemas.openxmlformats.org/drawingml/2006/main">
                <a:solidFill>
                  <a:srgbClr val="8A8FA8"/>
                </a:solidFill>
                <a:prstDash val="solid"/>
              </a:ln>
            </spPr>
          </marker>
          <cat>
            <numRef>
              <f>'Seguimiento semanal'!$B$6:$B$17</f>
            </numRef>
          </cat>
          <val>
            <numRef>
              <f>'Seguimiento semanal'!$F$6:$F$17</f>
            </numRef>
          </val>
          <smooth val="0"/>
        </ser>
        <ser>
          <idx val="1"/>
          <order val="1"/>
          <tx>
            <strRef>
              <f>'Seguimiento semanal'!G5</f>
            </strRef>
          </tx>
          <spPr>
            <a:ln xmlns:a="http://schemas.openxmlformats.org/drawingml/2006/main" w="22000">
              <a:solidFill>
                <a:srgbClr val="0077B5"/>
              </a:solidFill>
              <a:prstDash val="solid"/>
            </a:ln>
          </spPr>
          <marker>
            <symbol val="circle"/>
            <size val="5"/>
            <spPr>
              <a:solidFill xmlns:a="http://schemas.openxmlformats.org/drawingml/2006/main">
                <a:srgbClr val="0077B5"/>
              </a:solidFill>
              <a:ln xmlns:a="http://schemas.openxmlformats.org/drawingml/2006/main">
                <a:solidFill>
                  <a:srgbClr val="0077B5"/>
                </a:solidFill>
                <a:prstDash val="solid"/>
              </a:ln>
            </spPr>
          </marker>
          <cat>
            <numRef>
              <f>'Seguimiento semanal'!$B$6:$B$17</f>
            </numRef>
          </cat>
          <val>
            <numRef>
              <f>'Seguimiento semanal'!$G$6:$G$17</f>
            </numRef>
          </val>
          <smooth val="0"/>
        </ser>
        <axId val="10"/>
        <axId val="100"/>
      </lineChart>
      <catAx>
        <axId val="10"/>
        <scaling>
          <orientation val="minMax"/>
        </scaling>
        <delete val="0"/>
        <axPos val="l"/>
        <majorTickMark val="none"/>
        <minorTickMark val="none"/>
        <crossAx val="100"/>
        <lblOffset val="100"/>
      </catAx>
      <valAx>
        <axId val="100"/>
        <scaling>
          <orientation val="minMax"/>
          <min val="0"/>
        </scaling>
        <delete val="0"/>
        <axPos val="l"/>
        <majorGridlines>
          <spPr>
            <a:ln xmlns:a="http://schemas.openxmlformats.org/drawingml/2006/main">
              <a:solidFill>
                <a:srgbClr val="E6E3F0"/>
              </a:solidFill>
              <a:prstDash val="solid"/>
            </a:ln>
          </spPr>
        </majorGridlines>
        <numFmt formatCode="#,##0,&quot;k&quot;" sourceLinked="0"/>
        <majorTickMark val="none"/>
        <minorTickMark val="none"/>
        <crossAx val="10"/>
      </valAx>
    </plotArea>
    <legend>
      <legendPos val="b"/>
    </legend>
    <plotVisOnly val="1"/>
    <dispBlanksAs val="gap"/>
  </chart>
  <spPr>
    <a:ln xmlns:a="http://schemas.openxmlformats.org/drawingml/2006/main">
      <a:noFill/>
      <a:prstDash val="solid"/>
    </a:ln>
  </spPr>
</chartSpace>
</file>

<file path=xl/charts/chart3.xml><?xml version="1.0" encoding="utf-8"?>
<chartSpace xmlns="http://schemas.openxmlformats.org/drawingml/2006/chart">
  <style val="2"/>
  <chart>
    <plotArea>
      <barChart>
        <barDir val="bar"/>
        <grouping val="clustered"/>
        <ser>
          <idx val="0"/>
          <order val="0"/>
          <tx>
            <strRef>
              <f>'Tablero'!Q30</f>
            </strRef>
          </tx>
          <spPr>
            <a:ln xmlns:a="http://schemas.openxmlformats.org/drawingml/2006/main">
              <a:prstDash val="solid"/>
            </a:ln>
          </spPr>
          <dPt>
            <idx val="0"/>
            <spPr>
              <a:solidFill xmlns:a="http://schemas.openxmlformats.org/drawingml/2006/main">
                <a:srgbClr val="1E7B4A"/>
              </a:solidFill>
              <a:ln xmlns:a="http://schemas.openxmlformats.org/drawingml/2006/main">
                <a:noFill/>
                <a:prstDash val="solid"/>
              </a:ln>
            </spPr>
          </dPt>
          <dPt>
            <idx val="1"/>
            <spPr>
              <a:solidFill xmlns:a="http://schemas.openxmlformats.org/drawingml/2006/main">
                <a:srgbClr val="D9822B"/>
              </a:solidFill>
              <a:ln xmlns:a="http://schemas.openxmlformats.org/drawingml/2006/main">
                <a:noFill/>
                <a:prstDash val="solid"/>
              </a:ln>
            </spPr>
          </dPt>
          <dPt>
            <idx val="2"/>
            <spPr>
              <a:solidFill xmlns:a="http://schemas.openxmlformats.org/drawingml/2006/main">
                <a:srgbClr val="F0B429"/>
              </a:solidFill>
              <a:ln xmlns:a="http://schemas.openxmlformats.org/drawingml/2006/main">
                <a:noFill/>
                <a:prstDash val="solid"/>
              </a:ln>
            </spPr>
          </dPt>
          <dPt>
            <idx val="3"/>
            <spPr>
              <a:solidFill xmlns:a="http://schemas.openxmlformats.org/drawingml/2006/main">
                <a:srgbClr val="B9BCCF"/>
              </a:solidFill>
              <a:ln xmlns:a="http://schemas.openxmlformats.org/drawingml/2006/main">
                <a:noFill/>
                <a:prstDash val="solid"/>
              </a:ln>
            </spPr>
          </dPt>
          <cat>
            <numRef>
              <f>'Tablero'!$P$31:$P$34</f>
            </numRef>
          </cat>
          <val>
            <numRef>
              <f>'Tablero'!$Q$31:$Q$34</f>
            </numRef>
          </val>
        </ser>
        <dLbls>
          <showLegendKey val="0"/>
          <showVal val="1"/>
          <showCatName val="0"/>
          <showSerName val="0"/>
        </dLbls>
        <gapWidth val="60"/>
        <axId val="10"/>
        <axId val="100"/>
      </barChart>
      <catAx>
        <axId val="10"/>
        <scaling>
          <orientation val="maxMin"/>
        </scaling>
        <delete val="0"/>
        <axPos val="l"/>
        <majorTickMark val="none"/>
        <minorTickMark val="none"/>
        <crossAx val="100"/>
        <lblOffset val="100"/>
      </catAx>
      <valAx>
        <axId val="100"/>
        <scaling>
          <orientation val="minMax"/>
          <min val="0"/>
        </scaling>
        <delete val="0"/>
        <axPos val="l"/>
        <majorGridlines>
          <spPr>
            <a:ln xmlns:a="http://schemas.openxmlformats.org/drawingml/2006/main">
              <a:solidFill>
                <a:srgbClr val="E6E3F0"/>
              </a:solidFill>
              <a:prstDash val="solid"/>
            </a:ln>
          </spPr>
        </majorGridlines>
        <numFmt formatCode="0" sourceLinked="0"/>
        <majorTickMark val="none"/>
        <minorTickMark val="none"/>
        <crossAx val="10"/>
      </valAx>
    </plotArea>
    <plotVisOnly val="0"/>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1</col>
      <colOff>0</colOff>
      <row>12</row>
      <rowOff>0</rowOff>
    </from>
    <ext cx="4896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12</row>
      <rowOff>0</rowOff>
    </from>
    <ext cx="4896000" cy="2592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29</row>
      <rowOff>0</rowOff>
    </from>
    <ext cx="4896000" cy="2124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Q57"/>
  <sheetViews>
    <sheetView showGridLines="0" workbookViewId="0">
      <selection activeCell="A1" sqref="A1"/>
    </sheetView>
  </sheetViews>
  <sheetFormatPr baseColWidth="8" defaultRowHeight="15"/>
  <cols>
    <col width="2"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2" customWidth="1" min="14" max="14"/>
    <col hidden="1" width="13" customWidth="1" min="16" max="16"/>
    <col hidden="1" width="13" customWidth="1" min="17" max="17"/>
  </cols>
  <sheetData>
    <row r="1" ht="34" customHeight="1">
      <c r="A1" s="1" t="n"/>
      <c r="B1" s="2" t="inlineStr">
        <is>
          <t>Tablero Ejecutivo de Delivery</t>
        </is>
      </c>
      <c r="C1" s="1" t="n"/>
      <c r="D1" s="1" t="n"/>
      <c r="E1" s="1" t="n"/>
      <c r="F1" s="1" t="n"/>
      <c r="G1" s="1" t="n"/>
      <c r="H1" s="1" t="n"/>
      <c r="I1" s="1" t="n"/>
      <c r="J1" s="1" t="n"/>
      <c r="K1" s="3" t="inlineStr">
        <is>
          <t>DELIVERY CON CHARLY BRITO</t>
        </is>
      </c>
      <c r="N1" s="1" t="n"/>
    </row>
    <row r="2" ht="20" customHeight="1">
      <c r="A2" s="1" t="n"/>
      <c r="B2" s="4">
        <f>'Configuración'!$C$7&amp;"  ·  "&amp;'Configuración'!$C$8&amp;"  ·  Corte: "&amp;TEXT(INDEX('Seguimiento semanal'!$C$6:$C$29,COUNT('Seguimiento semanal'!$E$6:$E$29)),"DD/MM/YYYY")&amp;"  ·  "&amp;'Configuración'!$C$10&amp;" "&amp;COUNT('Seguimiento semanal'!$E$6:$E$29)&amp;" de "&amp;COUNT('Seguimiento semanal'!$D$6:$D$29)&amp;"  ·  "&amp;'Configuración'!$C$9</f>
        <v/>
      </c>
      <c r="C2" s="1" t="n"/>
      <c r="D2" s="1" t="n"/>
      <c r="E2" s="1" t="n"/>
      <c r="F2" s="1" t="n"/>
      <c r="G2" s="1" t="n"/>
      <c r="H2" s="1" t="n"/>
      <c r="I2" s="1" t="n"/>
      <c r="J2" s="1" t="n"/>
      <c r="K2" s="1" t="n"/>
      <c r="L2" s="1" t="n"/>
      <c r="M2" s="1" t="n"/>
      <c r="N2" s="1" t="n"/>
    </row>
    <row r="3" ht="8" customHeight="1">
      <c r="A3" s="1" t="n"/>
      <c r="B3" s="1" t="n"/>
      <c r="C3" s="1" t="n"/>
      <c r="D3" s="1" t="n"/>
      <c r="E3" s="1" t="n"/>
      <c r="F3" s="1" t="n"/>
      <c r="G3" s="1" t="n"/>
      <c r="H3" s="1" t="n"/>
      <c r="I3" s="1" t="n"/>
      <c r="J3" s="1" t="n"/>
      <c r="K3" s="1" t="n"/>
      <c r="L3" s="1" t="n"/>
      <c r="M3" s="1" t="n"/>
      <c r="N3" s="1" t="n"/>
    </row>
    <row r="4" ht="10" customHeight="1"/>
    <row r="5" ht="16" customHeight="1">
      <c r="B5" s="5" t="inlineStr">
        <is>
          <t>AVANCE REAL</t>
        </is>
      </c>
      <c r="C5" s="6" t="n"/>
      <c r="D5" s="5" t="inlineStr">
        <is>
          <t>SPI · CRONOGRAMA</t>
        </is>
      </c>
      <c r="E5" s="6" t="n"/>
      <c r="F5" s="5" t="inlineStr">
        <is>
          <t>CPI · COSTO</t>
        </is>
      </c>
      <c r="G5" s="6" t="n"/>
      <c r="H5" s="5" t="inlineStr">
        <is>
          <t>ACEPTACIÓN</t>
        </is>
      </c>
      <c r="I5" s="6" t="n"/>
      <c r="J5" s="5" t="inlineStr">
        <is>
          <t>RIESGOS ABIERTOS</t>
        </is>
      </c>
      <c r="K5" s="6" t="n"/>
      <c r="L5" s="7" t="inlineStr">
        <is>
          <t>ESTADO GENERAL</t>
        </is>
      </c>
      <c r="M5" s="8" t="n"/>
    </row>
    <row r="6" ht="22" customHeight="1">
      <c r="B6" s="9">
        <f>INDEX('Seguimiento semanal'!$E$6:$E$29,COUNT('Seguimiento semanal'!$E$6:$E$29))</f>
        <v/>
      </c>
      <c r="C6" s="6" t="n"/>
      <c r="D6" s="10">
        <f>INDEX('Seguimiento semanal'!$I$6:$I$29,COUNT('Seguimiento semanal'!$E$6:$E$29))</f>
        <v/>
      </c>
      <c r="E6" s="6" t="n"/>
      <c r="F6" s="10">
        <f>INDEX('Seguimiento semanal'!$J$6:$J$29,COUNT('Seguimiento semanal'!$E$6:$E$29))</f>
        <v/>
      </c>
      <c r="G6" s="6" t="n"/>
      <c r="H6" s="9">
        <f>IF(COUNTA(Entregables!$C$6:$C$35)-COUNTIF(Entregables!$G$6:$G$35,'Configuración'!$C$36)=0,"",COUNTIF(Entregables!$G$6:$G$35,'Configuración'!$C$39)/(COUNTA(Entregables!$C$6:$C$35)-COUNTIF(Entregables!$G$6:$G$35,'Configuración'!$C$36)))</f>
        <v/>
      </c>
      <c r="I6" s="6" t="n"/>
      <c r="J6" s="11">
        <f>COUNTIF(Riesgos!$M$6:$M$35,'Configuración'!$C$44)</f>
        <v/>
      </c>
      <c r="K6" s="6" t="n"/>
      <c r="L6" s="12">
        <f>IF(COUNTIF(B9:K9,"*"&amp;'Configuración'!$C$33&amp;"*")&gt;0,'Configuración'!$C$33,IF(COUNTIF(B9:K9,"*"&amp;'Configuración'!$C$32&amp;"*")&gt;0,'Configuración'!$C$32,'Configuración'!$C$31))</f>
        <v/>
      </c>
      <c r="M6" s="8" t="n"/>
    </row>
    <row r="7" ht="22" customHeight="1">
      <c r="B7" s="6" t="n"/>
      <c r="C7" s="6" t="n"/>
      <c r="D7" s="6" t="n"/>
      <c r="E7" s="6" t="n"/>
      <c r="F7" s="6" t="n"/>
      <c r="G7" s="6" t="n"/>
      <c r="H7" s="6" t="n"/>
      <c r="I7" s="6" t="n"/>
      <c r="J7" s="6" t="n"/>
      <c r="K7" s="6" t="n"/>
      <c r="L7" s="8" t="n"/>
      <c r="M7" s="8" t="n"/>
    </row>
    <row r="8" ht="16" customHeight="1">
      <c r="B8" s="13">
        <f>"Plan "&amp;TEXT(INDEX('Seguimiento semanal'!$D$6:$D$29,COUNT('Seguimiento semanal'!$E$6:$E$29)),"0%")&amp;"  ·  "&amp;TEXT(INDEX('Seguimiento semanal'!$K$6:$K$29,COUNT('Seguimiento semanal'!$E$6:$E$29))*100,"+0;-0;0")&amp;" pts"</f>
        <v/>
      </c>
      <c r="C8" s="6" t="n"/>
      <c r="D8" s="13">
        <f>"EV / PV  ·  1.00 = en plan"</f>
        <v/>
      </c>
      <c r="E8" s="6" t="n"/>
      <c r="F8" s="13">
        <f>"EV "&amp;'Configuración'!$C$14&amp;TEXT(INDEX('Seguimiento semanal'!$H$6:$H$29,COUNT('Seguimiento semanal'!$E$6:$E$29))/'Configuración'!$C$17,IF('Configuración'!$C$17&gt;=1000000,"#,##0.0","#,##0"))&amp;'Configuración'!$C$18&amp;" · AC "&amp;'Configuración'!$C$14&amp;TEXT(INDEX('Seguimiento semanal'!$G$6:$G$29,COUNT('Seguimiento semanal'!$E$6:$E$29))/'Configuración'!$C$17,IF('Configuración'!$C$17&gt;=1000000,"#,##0.0","#,##0"))&amp;'Configuración'!$C$18</f>
        <v/>
      </c>
      <c r="G8" s="6" t="n"/>
      <c r="H8" s="13">
        <f>COUNTIF(Entregables!$G$6:$G$35,'Configuración'!$C$39)&amp;" de "&amp;(COUNTA(Entregables!$C$6:$C$35)-COUNTIF(Entregables!$G$6:$G$35,'Configuración'!$C$36))&amp;" entregados  ·  "&amp;COUNTIF(Entregables!$I$6:$I$35,"&gt;"&amp;'Configuración'!$C$25)&amp;" vencido(s)"</f>
        <v/>
      </c>
      <c r="I8" s="6" t="n"/>
      <c r="J8" s="13">
        <f>COUNTIFS(Riesgos!$M$6:$M$35,'Configuración'!$C$44,Riesgos!$L$6:$L$35,'Configuración'!$C$46)&amp;" crítico(s) · "&amp;COUNTIFS(Riesgos!$M$6:$M$35,'Configuración'!$C$44,Riesgos!$N$6:$N$35,"No")&amp;" sin 4 campos"</f>
        <v/>
      </c>
      <c r="K8" s="6" t="n"/>
      <c r="L8" s="8" t="n"/>
      <c r="M8" s="8" t="n"/>
    </row>
    <row r="9" ht="20" customHeight="1">
      <c r="B9" s="14">
        <f>IF(-INDEX('Seguimiento semanal'!$K$6:$K$29,COUNT('Seguimiento semanal'!$E$6:$E$29))&gt;='Configuración'!$C$22,"● "&amp;'Configuración'!$C$33,IF(-INDEX('Seguimiento semanal'!$K$6:$K$29,COUNT('Seguimiento semanal'!$E$6:$E$29))&gt;='Configuración'!$C$21,"● "&amp;'Configuración'!$C$32,"● "&amp;'Configuración'!$C$31))</f>
        <v/>
      </c>
      <c r="C9" s="6" t="n"/>
      <c r="D9" s="14">
        <f>IF(D6&lt;'Configuración'!$C$24,"● "&amp;'Configuración'!$C$33,IF(D6&lt;'Configuración'!$C$23,"● "&amp;'Configuración'!$C$32,"● "&amp;'Configuración'!$C$31))</f>
        <v/>
      </c>
      <c r="E9" s="6" t="n"/>
      <c r="F9" s="14">
        <f>IF(F6&lt;'Configuración'!$C$24,"● "&amp;'Configuración'!$C$33,IF(F6&lt;'Configuración'!$C$23,"● "&amp;'Configuración'!$C$32,"● "&amp;'Configuración'!$C$31))</f>
        <v/>
      </c>
      <c r="G9" s="6" t="n"/>
      <c r="H9" s="14">
        <f>IF(COUNTIF(Entregables!$I$6:$I$35,"&gt;"&amp;'Configuración'!$C$25)&gt;0,"● "&amp;'Configuración'!$C$33,IF(COUNTIF(Entregables!$G$6:$G$35,'Configuración'!$C$38)&gt;0,"● "&amp;'Configuración'!$C$32,"● "&amp;'Configuración'!$C$31))</f>
        <v/>
      </c>
      <c r="I9" s="6" t="n"/>
      <c r="J9" s="14">
        <f>IF(COUNTIFS(Riesgos!$M$6:$M$35,'Configuración'!$C$44,Riesgos!$L$6:$L$35,'Configuración'!$C$46)&gt;0,"● "&amp;'Configuración'!$C$33,IF(OR(COUNTIFS(Riesgos!$M$6:$M$35,'Configuración'!$C$44,Riesgos!$N$6:$N$35,"No")&gt;0,COUNTIF(Riesgos!$O$6:$O$35,"Sí")&gt;0,COUNTIFS(Riesgos!$M$6:$M$35,'Configuración'!$C$44,Riesgos!$L$6:$L$35,'Configuración'!$C$47)&gt;0),"● "&amp;'Configuración'!$C$32,"● "&amp;'Configuración'!$C$31))</f>
        <v/>
      </c>
      <c r="K9" s="6" t="n"/>
      <c r="L9" s="15">
        <f>COUNTIF(B9:K9,"*"&amp;'Configuración'!$C$33&amp;"*")&amp;" en "&amp;LOWER('Configuración'!$C$33)&amp;" · "&amp;COUNTIF(B9:K9,"*"&amp;'Configuración'!$C$32&amp;"*")&amp;" en "&amp;LOWER('Configuración'!$C$32)</f>
        <v/>
      </c>
      <c r="M9" s="8" t="n"/>
    </row>
    <row r="10" ht="10" customHeight="1"/>
    <row r="11">
      <c r="B11" s="16" t="inlineStr">
        <is>
          <t>Curva S · avance acumulado</t>
        </is>
      </c>
      <c r="H11" s="16" t="inlineStr">
        <is>
          <t>Costo acumulado</t>
        </is>
      </c>
    </row>
    <row r="12">
      <c r="B12" s="17" t="inlineStr">
        <is>
          <t>Plan contra real; la distancia entre líneas es el atraso.</t>
        </is>
      </c>
      <c r="H12" s="17">
        <f>"Plan (PV) contra costo real (AC), en "&amp;'Configuración'!$C$13&amp;" (eje en miles)."</f>
        <v/>
      </c>
    </row>
    <row r="28">
      <c r="B28" s="16" t="inlineStr">
        <is>
          <t>Aceptación del cliente</t>
        </is>
      </c>
      <c r="H28" s="16" t="inlineStr">
        <is>
          <t>Mapa de calor de riesgos abiertos</t>
        </is>
      </c>
    </row>
    <row r="29">
      <c r="B29" s="17" t="inlineStr">
        <is>
          <t>Entregables por estado. Entregado no es aceptado.</t>
        </is>
      </c>
      <c r="H29" s="17" t="inlineStr">
        <is>
          <t>Número de riesgos por probabilidad e impacto.</t>
        </is>
      </c>
    </row>
    <row r="30">
      <c r="H30" s="18" t="inlineStr">
        <is>
          <t>Probabilidad ↓ / Impacto →</t>
        </is>
      </c>
      <c r="P30" t="inlineStr">
        <is>
          <t>Estado</t>
        </is>
      </c>
      <c r="Q30" t="inlineStr">
        <is>
          <t>Entregables</t>
        </is>
      </c>
    </row>
    <row r="31" ht="26" customHeight="1">
      <c r="H31" s="19" t="n">
        <v>5</v>
      </c>
      <c r="I31" s="20">
        <f>COUNTIFS(Riesgos!$I$6:$I$35,$H31,Riesgos!$J$6:$J$35,I$36,Riesgos!$M$6:$M$35,'Configuración'!$C$44)</f>
        <v/>
      </c>
      <c r="J31" s="20">
        <f>COUNTIFS(Riesgos!$I$6:$I$35,$H31,Riesgos!$J$6:$J$35,J$36,Riesgos!$M$6:$M$35,'Configuración'!$C$44)</f>
        <v/>
      </c>
      <c r="K31" s="20">
        <f>COUNTIFS(Riesgos!$I$6:$I$35,$H31,Riesgos!$J$6:$J$35,K$36,Riesgos!$M$6:$M$35,'Configuración'!$C$44)</f>
        <v/>
      </c>
      <c r="L31" s="20">
        <f>COUNTIFS(Riesgos!$I$6:$I$35,$H31,Riesgos!$J$6:$J$35,L$36,Riesgos!$M$6:$M$35,'Configuración'!$C$44)</f>
        <v/>
      </c>
      <c r="M31" s="20">
        <f>COUNTIFS(Riesgos!$I$6:$I$35,$H31,Riesgos!$J$6:$J$35,M$36,Riesgos!$M$6:$M$35,'Configuración'!$C$44)</f>
        <v/>
      </c>
      <c r="P31">
        <f>'Configuración'!$C$39</f>
        <v/>
      </c>
      <c r="Q31">
        <f>COUNTIF(Entregables!$G$6:$G$35,'Configuración'!$C$39)</f>
        <v/>
      </c>
    </row>
    <row r="32" ht="26" customHeight="1">
      <c r="H32" s="19" t="n">
        <v>4</v>
      </c>
      <c r="I32" s="20">
        <f>COUNTIFS(Riesgos!$I$6:$I$35,$H32,Riesgos!$J$6:$J$35,I$36,Riesgos!$M$6:$M$35,'Configuración'!$C$44)</f>
        <v/>
      </c>
      <c r="J32" s="20">
        <f>COUNTIFS(Riesgos!$I$6:$I$35,$H32,Riesgos!$J$6:$J$35,J$36,Riesgos!$M$6:$M$35,'Configuración'!$C$44)</f>
        <v/>
      </c>
      <c r="K32" s="20">
        <f>COUNTIFS(Riesgos!$I$6:$I$35,$H32,Riesgos!$J$6:$J$35,K$36,Riesgos!$M$6:$M$35,'Configuración'!$C$44)</f>
        <v/>
      </c>
      <c r="L32" s="20">
        <f>COUNTIFS(Riesgos!$I$6:$I$35,$H32,Riesgos!$J$6:$J$35,L$36,Riesgos!$M$6:$M$35,'Configuración'!$C$44)</f>
        <v/>
      </c>
      <c r="M32" s="20">
        <f>COUNTIFS(Riesgos!$I$6:$I$35,$H32,Riesgos!$J$6:$J$35,M$36,Riesgos!$M$6:$M$35,'Configuración'!$C$44)</f>
        <v/>
      </c>
      <c r="P32">
        <f>'Configuración'!$C$38</f>
        <v/>
      </c>
      <c r="Q32">
        <f>COUNTIF(Entregables!$G$6:$G$35,'Configuración'!$C$38)</f>
        <v/>
      </c>
    </row>
    <row r="33" ht="26" customHeight="1">
      <c r="H33" s="19" t="n">
        <v>3</v>
      </c>
      <c r="I33" s="20">
        <f>COUNTIFS(Riesgos!$I$6:$I$35,$H33,Riesgos!$J$6:$J$35,I$36,Riesgos!$M$6:$M$35,'Configuración'!$C$44)</f>
        <v/>
      </c>
      <c r="J33" s="20">
        <f>COUNTIFS(Riesgos!$I$6:$I$35,$H33,Riesgos!$J$6:$J$35,J$36,Riesgos!$M$6:$M$35,'Configuración'!$C$44)</f>
        <v/>
      </c>
      <c r="K33" s="20">
        <f>COUNTIFS(Riesgos!$I$6:$I$35,$H33,Riesgos!$J$6:$J$35,K$36,Riesgos!$M$6:$M$35,'Configuración'!$C$44)</f>
        <v/>
      </c>
      <c r="L33" s="20">
        <f>COUNTIFS(Riesgos!$I$6:$I$35,$H33,Riesgos!$J$6:$J$35,L$36,Riesgos!$M$6:$M$35,'Configuración'!$C$44)</f>
        <v/>
      </c>
      <c r="M33" s="20">
        <f>COUNTIFS(Riesgos!$I$6:$I$35,$H33,Riesgos!$J$6:$J$35,M$36,Riesgos!$M$6:$M$35,'Configuración'!$C$44)</f>
        <v/>
      </c>
      <c r="P33">
        <f>'Configuración'!$C$37</f>
        <v/>
      </c>
      <c r="Q33">
        <f>COUNTIF(Entregables!$G$6:$G$35,'Configuración'!$C$37)</f>
        <v/>
      </c>
    </row>
    <row r="34" ht="26" customHeight="1">
      <c r="H34" s="19" t="n">
        <v>2</v>
      </c>
      <c r="I34" s="20">
        <f>COUNTIFS(Riesgos!$I$6:$I$35,$H34,Riesgos!$J$6:$J$35,I$36,Riesgos!$M$6:$M$35,'Configuración'!$C$44)</f>
        <v/>
      </c>
      <c r="J34" s="20">
        <f>COUNTIFS(Riesgos!$I$6:$I$35,$H34,Riesgos!$J$6:$J$35,J$36,Riesgos!$M$6:$M$35,'Configuración'!$C$44)</f>
        <v/>
      </c>
      <c r="K34" s="20">
        <f>COUNTIFS(Riesgos!$I$6:$I$35,$H34,Riesgos!$J$6:$J$35,K$36,Riesgos!$M$6:$M$35,'Configuración'!$C$44)</f>
        <v/>
      </c>
      <c r="L34" s="20">
        <f>COUNTIFS(Riesgos!$I$6:$I$35,$H34,Riesgos!$J$6:$J$35,L$36,Riesgos!$M$6:$M$35,'Configuración'!$C$44)</f>
        <v/>
      </c>
      <c r="M34" s="20">
        <f>COUNTIFS(Riesgos!$I$6:$I$35,$H34,Riesgos!$J$6:$J$35,M$36,Riesgos!$M$6:$M$35,'Configuración'!$C$44)</f>
        <v/>
      </c>
      <c r="P34">
        <f>'Configuración'!$C$36</f>
        <v/>
      </c>
      <c r="Q34">
        <f>COUNTIF(Entregables!$G$6:$G$35,'Configuración'!$C$36)</f>
        <v/>
      </c>
    </row>
    <row r="35" ht="26" customHeight="1">
      <c r="H35" s="19" t="n">
        <v>1</v>
      </c>
      <c r="I35" s="20">
        <f>COUNTIFS(Riesgos!$I$6:$I$35,$H35,Riesgos!$J$6:$J$35,I$36,Riesgos!$M$6:$M$35,'Configuración'!$C$44)</f>
        <v/>
      </c>
      <c r="J35" s="20">
        <f>COUNTIFS(Riesgos!$I$6:$I$35,$H35,Riesgos!$J$6:$J$35,J$36,Riesgos!$M$6:$M$35,'Configuración'!$C$44)</f>
        <v/>
      </c>
      <c r="K35" s="20">
        <f>COUNTIFS(Riesgos!$I$6:$I$35,$H35,Riesgos!$J$6:$J$35,K$36,Riesgos!$M$6:$M$35,'Configuración'!$C$44)</f>
        <v/>
      </c>
      <c r="L35" s="20">
        <f>COUNTIFS(Riesgos!$I$6:$I$35,$H35,Riesgos!$J$6:$J$35,L$36,Riesgos!$M$6:$M$35,'Configuración'!$C$44)</f>
        <v/>
      </c>
      <c r="M35" s="20">
        <f>COUNTIFS(Riesgos!$I$6:$I$35,$H35,Riesgos!$J$6:$J$35,M$36,Riesgos!$M$6:$M$35,'Configuración'!$C$44)</f>
        <v/>
      </c>
    </row>
    <row r="36">
      <c r="I36" s="21" t="n">
        <v>1</v>
      </c>
      <c r="J36" s="21" t="n">
        <v>2</v>
      </c>
      <c r="K36" s="21" t="n">
        <v>3</v>
      </c>
      <c r="L36" s="21" t="n">
        <v>4</v>
      </c>
      <c r="M36" s="21" t="n">
        <v>5</v>
      </c>
    </row>
    <row r="38">
      <c r="I38" s="18" t="inlineStr">
        <is>
          <t>■ Crítico  ■ Alto  ■ Medio  ■ Bajo  (zonas ajustables en Configuración)</t>
        </is>
      </c>
    </row>
    <row r="41">
      <c r="B41" s="16" t="inlineStr">
        <is>
          <t>Riesgos prioritarios</t>
        </is>
      </c>
    </row>
    <row r="42">
      <c r="B42" s="17" t="inlineStr">
        <is>
          <t>Los 5 riesgos abiertos de mayor severidad.</t>
        </is>
      </c>
    </row>
    <row r="43" ht="20" customHeight="1">
      <c r="B43" s="7" t="inlineStr">
        <is>
          <t>ID</t>
        </is>
      </c>
      <c r="C43" s="7" t="inlineStr">
        <is>
          <t>Descripción</t>
        </is>
      </c>
      <c r="D43" s="22" t="n"/>
      <c r="E43" s="22" t="n"/>
      <c r="F43" s="7" t="inlineStr">
        <is>
          <t>Responsable</t>
        </is>
      </c>
      <c r="G43" s="22" t="n"/>
      <c r="H43" s="7" t="inlineStr">
        <is>
          <t>Plan de respuesta</t>
        </is>
      </c>
      <c r="I43" s="22" t="n"/>
      <c r="J43" s="22" t="n"/>
      <c r="K43" s="7" t="inlineStr">
        <is>
          <t>Severidad</t>
        </is>
      </c>
      <c r="L43" s="7" t="inlineStr">
        <is>
          <t>Nivel</t>
        </is>
      </c>
      <c r="M43" s="7" t="inlineStr">
        <is>
          <t>¿4 campos?</t>
        </is>
      </c>
    </row>
    <row r="44" ht="28" customHeight="1">
      <c r="B44" s="23">
        <f>IF(LARGE(Riesgos!$P$6:$P$35,1)=0,"",INDEX(Riesgos!$B$6:$B$35,MATCH(LARGE(Riesgos!$P$6:$P$35,1),Riesgos!$P$6:$P$35,0))&amp;"")</f>
        <v/>
      </c>
      <c r="C44" s="24">
        <f>IF(LARGE(Riesgos!$P$6:$P$35,1)=0,"",INDEX(Riesgos!$D$6:$D$35,MATCH(LARGE(Riesgos!$P$6:$P$35,1),Riesgos!$P$6:$P$35,0))&amp;"")</f>
        <v/>
      </c>
      <c r="D44" s="25" t="n"/>
      <c r="E44" s="25" t="n"/>
      <c r="F44" s="24">
        <f>IF(LARGE(Riesgos!$P$6:$P$35,1)=0,"",INDEX(Riesgos!$E$6:$E$35,MATCH(LARGE(Riesgos!$P$6:$P$35,1),Riesgos!$P$6:$P$35,0))&amp;"")</f>
        <v/>
      </c>
      <c r="G44" s="25" t="n"/>
      <c r="H44" s="24">
        <f>IF(LARGE(Riesgos!$P$6:$P$35,1)=0,"",INDEX(Riesgos!$H$6:$H$35,MATCH(LARGE(Riesgos!$P$6:$P$35,1),Riesgos!$P$6:$P$35,0))&amp;"")</f>
        <v/>
      </c>
      <c r="I44" s="25" t="n"/>
      <c r="J44" s="25" t="n"/>
      <c r="K44" s="26">
        <f>IF(LARGE(Riesgos!$P$6:$P$35,1)=0,"",INDEX(Riesgos!$K$6:$K$35,MATCH(LARGE(Riesgos!$P$6:$P$35,1),Riesgos!$P$6:$P$35,0)))</f>
        <v/>
      </c>
      <c r="L44" s="23">
        <f>IF(LARGE(Riesgos!$P$6:$P$35,1)=0,"",INDEX(Riesgos!$L$6:$L$35,MATCH(LARGE(Riesgos!$P$6:$P$35,1),Riesgos!$P$6:$P$35,0))&amp;"")</f>
        <v/>
      </c>
      <c r="M44" s="26">
        <f>IF(LARGE(Riesgos!$P$6:$P$35,1)=0,"",INDEX(Riesgos!$N$6:$N$35,MATCH(LARGE(Riesgos!$P$6:$P$35,1),Riesgos!$P$6:$P$35,0))&amp;"")</f>
        <v/>
      </c>
    </row>
    <row r="45" ht="28" customHeight="1">
      <c r="B45" s="23">
        <f>IF(LARGE(Riesgos!$P$6:$P$35,2)=0,"",INDEX(Riesgos!$B$6:$B$35,MATCH(LARGE(Riesgos!$P$6:$P$35,2),Riesgos!$P$6:$P$35,0))&amp;"")</f>
        <v/>
      </c>
      <c r="C45" s="24">
        <f>IF(LARGE(Riesgos!$P$6:$P$35,2)=0,"",INDEX(Riesgos!$D$6:$D$35,MATCH(LARGE(Riesgos!$P$6:$P$35,2),Riesgos!$P$6:$P$35,0))&amp;"")</f>
        <v/>
      </c>
      <c r="D45" s="25" t="n"/>
      <c r="E45" s="25" t="n"/>
      <c r="F45" s="24">
        <f>IF(LARGE(Riesgos!$P$6:$P$35,2)=0,"",INDEX(Riesgos!$E$6:$E$35,MATCH(LARGE(Riesgos!$P$6:$P$35,2),Riesgos!$P$6:$P$35,0))&amp;"")</f>
        <v/>
      </c>
      <c r="G45" s="25" t="n"/>
      <c r="H45" s="24">
        <f>IF(LARGE(Riesgos!$P$6:$P$35,2)=0,"",INDEX(Riesgos!$H$6:$H$35,MATCH(LARGE(Riesgos!$P$6:$P$35,2),Riesgos!$P$6:$P$35,0))&amp;"")</f>
        <v/>
      </c>
      <c r="I45" s="25" t="n"/>
      <c r="J45" s="25" t="n"/>
      <c r="K45" s="26">
        <f>IF(LARGE(Riesgos!$P$6:$P$35,2)=0,"",INDEX(Riesgos!$K$6:$K$35,MATCH(LARGE(Riesgos!$P$6:$P$35,2),Riesgos!$P$6:$P$35,0)))</f>
        <v/>
      </c>
      <c r="L45" s="23">
        <f>IF(LARGE(Riesgos!$P$6:$P$35,2)=0,"",INDEX(Riesgos!$L$6:$L$35,MATCH(LARGE(Riesgos!$P$6:$P$35,2),Riesgos!$P$6:$P$35,0))&amp;"")</f>
        <v/>
      </c>
      <c r="M45" s="26">
        <f>IF(LARGE(Riesgos!$P$6:$P$35,2)=0,"",INDEX(Riesgos!$N$6:$N$35,MATCH(LARGE(Riesgos!$P$6:$P$35,2),Riesgos!$P$6:$P$35,0))&amp;"")</f>
        <v/>
      </c>
    </row>
    <row r="46" ht="28" customHeight="1">
      <c r="B46" s="23">
        <f>IF(LARGE(Riesgos!$P$6:$P$35,3)=0,"",INDEX(Riesgos!$B$6:$B$35,MATCH(LARGE(Riesgos!$P$6:$P$35,3),Riesgos!$P$6:$P$35,0))&amp;"")</f>
        <v/>
      </c>
      <c r="C46" s="24">
        <f>IF(LARGE(Riesgos!$P$6:$P$35,3)=0,"",INDEX(Riesgos!$D$6:$D$35,MATCH(LARGE(Riesgos!$P$6:$P$35,3),Riesgos!$P$6:$P$35,0))&amp;"")</f>
        <v/>
      </c>
      <c r="D46" s="25" t="n"/>
      <c r="E46" s="25" t="n"/>
      <c r="F46" s="24">
        <f>IF(LARGE(Riesgos!$P$6:$P$35,3)=0,"",INDEX(Riesgos!$E$6:$E$35,MATCH(LARGE(Riesgos!$P$6:$P$35,3),Riesgos!$P$6:$P$35,0))&amp;"")</f>
        <v/>
      </c>
      <c r="G46" s="25" t="n"/>
      <c r="H46" s="24">
        <f>IF(LARGE(Riesgos!$P$6:$P$35,3)=0,"",INDEX(Riesgos!$H$6:$H$35,MATCH(LARGE(Riesgos!$P$6:$P$35,3),Riesgos!$P$6:$P$35,0))&amp;"")</f>
        <v/>
      </c>
      <c r="I46" s="25" t="n"/>
      <c r="J46" s="25" t="n"/>
      <c r="K46" s="26">
        <f>IF(LARGE(Riesgos!$P$6:$P$35,3)=0,"",INDEX(Riesgos!$K$6:$K$35,MATCH(LARGE(Riesgos!$P$6:$P$35,3),Riesgos!$P$6:$P$35,0)))</f>
        <v/>
      </c>
      <c r="L46" s="23">
        <f>IF(LARGE(Riesgos!$P$6:$P$35,3)=0,"",INDEX(Riesgos!$L$6:$L$35,MATCH(LARGE(Riesgos!$P$6:$P$35,3),Riesgos!$P$6:$P$35,0))&amp;"")</f>
        <v/>
      </c>
      <c r="M46" s="26">
        <f>IF(LARGE(Riesgos!$P$6:$P$35,3)=0,"",INDEX(Riesgos!$N$6:$N$35,MATCH(LARGE(Riesgos!$P$6:$P$35,3),Riesgos!$P$6:$P$35,0))&amp;"")</f>
        <v/>
      </c>
    </row>
    <row r="47" ht="28" customHeight="1">
      <c r="B47" s="23">
        <f>IF(LARGE(Riesgos!$P$6:$P$35,4)=0,"",INDEX(Riesgos!$B$6:$B$35,MATCH(LARGE(Riesgos!$P$6:$P$35,4),Riesgos!$P$6:$P$35,0))&amp;"")</f>
        <v/>
      </c>
      <c r="C47" s="24">
        <f>IF(LARGE(Riesgos!$P$6:$P$35,4)=0,"",INDEX(Riesgos!$D$6:$D$35,MATCH(LARGE(Riesgos!$P$6:$P$35,4),Riesgos!$P$6:$P$35,0))&amp;"")</f>
        <v/>
      </c>
      <c r="D47" s="25" t="n"/>
      <c r="E47" s="25" t="n"/>
      <c r="F47" s="24">
        <f>IF(LARGE(Riesgos!$P$6:$P$35,4)=0,"",INDEX(Riesgos!$E$6:$E$35,MATCH(LARGE(Riesgos!$P$6:$P$35,4),Riesgos!$P$6:$P$35,0))&amp;"")</f>
        <v/>
      </c>
      <c r="G47" s="25" t="n"/>
      <c r="H47" s="24">
        <f>IF(LARGE(Riesgos!$P$6:$P$35,4)=0,"",INDEX(Riesgos!$H$6:$H$35,MATCH(LARGE(Riesgos!$P$6:$P$35,4),Riesgos!$P$6:$P$35,0))&amp;"")</f>
        <v/>
      </c>
      <c r="I47" s="25" t="n"/>
      <c r="J47" s="25" t="n"/>
      <c r="K47" s="26">
        <f>IF(LARGE(Riesgos!$P$6:$P$35,4)=0,"",INDEX(Riesgos!$K$6:$K$35,MATCH(LARGE(Riesgos!$P$6:$P$35,4),Riesgos!$P$6:$P$35,0)))</f>
        <v/>
      </c>
      <c r="L47" s="23">
        <f>IF(LARGE(Riesgos!$P$6:$P$35,4)=0,"",INDEX(Riesgos!$L$6:$L$35,MATCH(LARGE(Riesgos!$P$6:$P$35,4),Riesgos!$P$6:$P$35,0))&amp;"")</f>
        <v/>
      </c>
      <c r="M47" s="26">
        <f>IF(LARGE(Riesgos!$P$6:$P$35,4)=0,"",INDEX(Riesgos!$N$6:$N$35,MATCH(LARGE(Riesgos!$P$6:$P$35,4),Riesgos!$P$6:$P$35,0))&amp;"")</f>
        <v/>
      </c>
    </row>
    <row r="48" ht="28" customHeight="1">
      <c r="B48" s="23">
        <f>IF(LARGE(Riesgos!$P$6:$P$35,5)=0,"",INDEX(Riesgos!$B$6:$B$35,MATCH(LARGE(Riesgos!$P$6:$P$35,5),Riesgos!$P$6:$P$35,0))&amp;"")</f>
        <v/>
      </c>
      <c r="C48" s="24">
        <f>IF(LARGE(Riesgos!$P$6:$P$35,5)=0,"",INDEX(Riesgos!$D$6:$D$35,MATCH(LARGE(Riesgos!$P$6:$P$35,5),Riesgos!$P$6:$P$35,0))&amp;"")</f>
        <v/>
      </c>
      <c r="D48" s="25" t="n"/>
      <c r="E48" s="25" t="n"/>
      <c r="F48" s="24">
        <f>IF(LARGE(Riesgos!$P$6:$P$35,5)=0,"",INDEX(Riesgos!$E$6:$E$35,MATCH(LARGE(Riesgos!$P$6:$P$35,5),Riesgos!$P$6:$P$35,0))&amp;"")</f>
        <v/>
      </c>
      <c r="G48" s="25" t="n"/>
      <c r="H48" s="24">
        <f>IF(LARGE(Riesgos!$P$6:$P$35,5)=0,"",INDEX(Riesgos!$H$6:$H$35,MATCH(LARGE(Riesgos!$P$6:$P$35,5),Riesgos!$P$6:$P$35,0))&amp;"")</f>
        <v/>
      </c>
      <c r="I48" s="25" t="n"/>
      <c r="J48" s="25" t="n"/>
      <c r="K48" s="26">
        <f>IF(LARGE(Riesgos!$P$6:$P$35,5)=0,"",INDEX(Riesgos!$K$6:$K$35,MATCH(LARGE(Riesgos!$P$6:$P$35,5),Riesgos!$P$6:$P$35,0)))</f>
        <v/>
      </c>
      <c r="L48" s="23">
        <f>IF(LARGE(Riesgos!$P$6:$P$35,5)=0,"",INDEX(Riesgos!$L$6:$L$35,MATCH(LARGE(Riesgos!$P$6:$P$35,5),Riesgos!$P$6:$P$35,0))&amp;"")</f>
        <v/>
      </c>
      <c r="M48" s="26">
        <f>IF(LARGE(Riesgos!$P$6:$P$35,5)=0,"",INDEX(Riesgos!$N$6:$N$35,MATCH(LARGE(Riesgos!$P$6:$P$35,5),Riesgos!$P$6:$P$35,0))&amp;"")</f>
        <v/>
      </c>
    </row>
    <row r="50">
      <c r="B50" s="16" t="inlineStr">
        <is>
          <t>Decisiones requeridas a dirección</t>
        </is>
      </c>
    </row>
    <row r="51">
      <c r="B51" s="17" t="inlineStr">
        <is>
          <t>Lo único que se escribe en esta hoja: qué necesitas, de quién y para cuándo.</t>
        </is>
      </c>
    </row>
    <row r="52">
      <c r="B52" s="7" t="inlineStr">
        <is>
          <t>Decisión requerida</t>
        </is>
      </c>
      <c r="C52" s="22" t="n"/>
      <c r="D52" s="22" t="n"/>
      <c r="E52" s="22" t="n"/>
      <c r="F52" s="7" t="inlineStr">
        <is>
          <t>Responsable</t>
        </is>
      </c>
      <c r="G52" s="22" t="n"/>
      <c r="H52" s="7" t="inlineStr">
        <is>
          <t>Fecha límite</t>
        </is>
      </c>
      <c r="I52" s="7" t="inlineStr">
        <is>
          <t>Impacto si no se decide</t>
        </is>
      </c>
      <c r="J52" s="22" t="n"/>
      <c r="K52" s="22" t="n"/>
      <c r="L52" s="22" t="n"/>
      <c r="M52" s="22" t="n"/>
    </row>
    <row r="53" ht="22" customHeight="1">
      <c r="B53" s="27" t="inlineStr">
        <is>
          <t>Autorizar ventana alterna de mantenimiento</t>
        </is>
      </c>
      <c r="C53" s="28" t="n"/>
      <c r="D53" s="28" t="n"/>
      <c r="E53" s="28" t="n"/>
      <c r="F53" s="27" t="inlineStr">
        <is>
          <t>Gerencia del cliente</t>
        </is>
      </c>
      <c r="G53" s="28" t="n"/>
      <c r="H53" s="29" t="n">
        <v>46304</v>
      </c>
      <c r="I53" s="27" t="inlineStr">
        <is>
          <t>La migración se mueve 2 semanas y el SPI cae por debajo de 0.90</t>
        </is>
      </c>
      <c r="J53" s="28" t="n"/>
      <c r="K53" s="28" t="n"/>
      <c r="L53" s="28" t="n"/>
      <c r="M53" s="28" t="n"/>
    </row>
    <row r="54" ht="22" customHeight="1">
      <c r="B54" s="27" t="n"/>
      <c r="C54" s="28" t="n"/>
      <c r="D54" s="28" t="n"/>
      <c r="E54" s="28" t="n"/>
      <c r="F54" s="27" t="n"/>
      <c r="G54" s="28" t="n"/>
      <c r="H54" s="29" t="n"/>
      <c r="I54" s="27" t="n"/>
      <c r="J54" s="28" t="n"/>
      <c r="K54" s="28" t="n"/>
      <c r="L54" s="28" t="n"/>
      <c r="M54" s="28" t="n"/>
    </row>
    <row r="55" ht="22" customHeight="1">
      <c r="B55" s="27" t="n"/>
      <c r="C55" s="28" t="n"/>
      <c r="D55" s="28" t="n"/>
      <c r="E55" s="28" t="n"/>
      <c r="F55" s="27" t="n"/>
      <c r="G55" s="28" t="n"/>
      <c r="H55" s="29" t="n"/>
      <c r="I55" s="27" t="n"/>
      <c r="J55" s="28" t="n"/>
      <c r="K55" s="28" t="n"/>
      <c r="L55" s="28" t="n"/>
      <c r="M55" s="28" t="n"/>
    </row>
    <row r="57">
      <c r="B57" s="30" t="inlineStr">
        <is>
          <t>© Carlos Alberto Ruiz Brito · 05/10/2026 · Delivery con Charly Brito · carlosruizbrito.com · Licencia CC BY 4.0 (uso y adaptación citando al autor)</t>
        </is>
      </c>
    </row>
  </sheetData>
  <mergeCells count="58">
    <mergeCell ref="L6:M8"/>
    <mergeCell ref="H46:J46"/>
    <mergeCell ref="C44:E44"/>
    <mergeCell ref="J5:K5"/>
    <mergeCell ref="F54:G54"/>
    <mergeCell ref="C47:E47"/>
    <mergeCell ref="B6:C7"/>
    <mergeCell ref="B55:E55"/>
    <mergeCell ref="C43:E43"/>
    <mergeCell ref="H9:I9"/>
    <mergeCell ref="H45:J45"/>
    <mergeCell ref="C46:E46"/>
    <mergeCell ref="J9:K9"/>
    <mergeCell ref="F55:G55"/>
    <mergeCell ref="F53:G53"/>
    <mergeCell ref="H53"/>
    <mergeCell ref="I54:M54"/>
    <mergeCell ref="F5:G5"/>
    <mergeCell ref="B54:E54"/>
    <mergeCell ref="F45:G45"/>
    <mergeCell ref="H47:J47"/>
    <mergeCell ref="C48:E48"/>
    <mergeCell ref="L5:M5"/>
    <mergeCell ref="B8:C8"/>
    <mergeCell ref="H48:J48"/>
    <mergeCell ref="I53:M53"/>
    <mergeCell ref="H54"/>
    <mergeCell ref="H55"/>
    <mergeCell ref="F8:G8"/>
    <mergeCell ref="F47:G47"/>
    <mergeCell ref="B52:E52"/>
    <mergeCell ref="I55:M55"/>
    <mergeCell ref="D6:E7"/>
    <mergeCell ref="F46:G46"/>
    <mergeCell ref="I52:M52"/>
    <mergeCell ref="F6:G7"/>
    <mergeCell ref="B9:C9"/>
    <mergeCell ref="D9:E9"/>
    <mergeCell ref="F9:G9"/>
    <mergeCell ref="L9:M9"/>
    <mergeCell ref="H43:J43"/>
    <mergeCell ref="D8:E8"/>
    <mergeCell ref="F43:G43"/>
    <mergeCell ref="F52:G52"/>
    <mergeCell ref="H52"/>
    <mergeCell ref="F48:G48"/>
    <mergeCell ref="B53:E53"/>
    <mergeCell ref="H6:I7"/>
    <mergeCell ref="H44:J44"/>
    <mergeCell ref="B5:C5"/>
    <mergeCell ref="J6:K7"/>
    <mergeCell ref="C45:E45"/>
    <mergeCell ref="D5:E5"/>
    <mergeCell ref="H5:I5"/>
    <mergeCell ref="H8:I8"/>
    <mergeCell ref="J8:K8"/>
    <mergeCell ref="F44:G44"/>
    <mergeCell ref="K1:M1"/>
  </mergeCells>
  <conditionalFormatting sqref="B9:C9">
    <cfRule type="expression" priority="1" dxfId="0">
      <formula>ISNUMBER(SEARCH('Configuración'!$C$31,B9))</formula>
    </cfRule>
    <cfRule type="expression" priority="2" dxfId="1">
      <formula>ISNUMBER(SEARCH('Configuración'!$C$32,B9))</formula>
    </cfRule>
    <cfRule type="expression" priority="3" dxfId="2">
      <formula>ISNUMBER(SEARCH('Configuración'!$C$33,B9))</formula>
    </cfRule>
  </conditionalFormatting>
  <conditionalFormatting sqref="D9:E9">
    <cfRule type="expression" priority="4" dxfId="0">
      <formula>ISNUMBER(SEARCH('Configuración'!$C$31,D9))</formula>
    </cfRule>
    <cfRule type="expression" priority="5" dxfId="1">
      <formula>ISNUMBER(SEARCH('Configuración'!$C$32,D9))</formula>
    </cfRule>
    <cfRule type="expression" priority="6" dxfId="2">
      <formula>ISNUMBER(SEARCH('Configuración'!$C$33,D9))</formula>
    </cfRule>
  </conditionalFormatting>
  <conditionalFormatting sqref="F9:G9">
    <cfRule type="expression" priority="7" dxfId="0">
      <formula>ISNUMBER(SEARCH('Configuración'!$C$31,F9))</formula>
    </cfRule>
    <cfRule type="expression" priority="8" dxfId="1">
      <formula>ISNUMBER(SEARCH('Configuración'!$C$32,F9))</formula>
    </cfRule>
    <cfRule type="expression" priority="9" dxfId="2">
      <formula>ISNUMBER(SEARCH('Configuración'!$C$33,F9))</formula>
    </cfRule>
  </conditionalFormatting>
  <conditionalFormatting sqref="H9:I9">
    <cfRule type="expression" priority="10" dxfId="0">
      <formula>ISNUMBER(SEARCH('Configuración'!$C$31,H9))</formula>
    </cfRule>
    <cfRule type="expression" priority="11" dxfId="1">
      <formula>ISNUMBER(SEARCH('Configuración'!$C$32,H9))</formula>
    </cfRule>
    <cfRule type="expression" priority="12" dxfId="2">
      <formula>ISNUMBER(SEARCH('Configuración'!$C$33,H9))</formula>
    </cfRule>
  </conditionalFormatting>
  <conditionalFormatting sqref="J9:K9">
    <cfRule type="expression" priority="13" dxfId="0">
      <formula>ISNUMBER(SEARCH('Configuración'!$C$31,J9))</formula>
    </cfRule>
    <cfRule type="expression" priority="14" dxfId="1">
      <formula>ISNUMBER(SEARCH('Configuración'!$C$32,J9))</formula>
    </cfRule>
    <cfRule type="expression" priority="15" dxfId="2">
      <formula>ISNUMBER(SEARCH('Configuración'!$C$33,J9))</formula>
    </cfRule>
  </conditionalFormatting>
  <conditionalFormatting sqref="L5:M9">
    <cfRule type="expression" priority="16" dxfId="3">
      <formula>$L$6='Configuración'!$C$31</formula>
    </cfRule>
    <cfRule type="expression" priority="17" dxfId="4">
      <formula>$L$6='Configuración'!$C$32</formula>
    </cfRule>
    <cfRule type="expression" priority="18" dxfId="5">
      <formula>$L$6='Configuración'!$C$33</formula>
    </cfRule>
  </conditionalFormatting>
  <conditionalFormatting sqref="I31:M35">
    <cfRule type="expression" priority="19" dxfId="6" stopIfTrue="1">
      <formula>$H31*I$36&gt;='Configuración'!$C$26</formula>
    </cfRule>
    <cfRule type="expression" priority="20" dxfId="7" stopIfTrue="1">
      <formula>$H31*I$36&gt;='Configuración'!$C$27</formula>
    </cfRule>
    <cfRule type="expression" priority="21" dxfId="8" stopIfTrue="1">
      <formula>$H31*I$36&gt;='Configuración'!$C$28</formula>
    </cfRule>
    <cfRule type="expression" priority="22" dxfId="9" stopIfTrue="1">
      <formula>$H31*I$36&lt;'Configuración'!$C$28</formula>
    </cfRule>
  </conditionalFormatting>
  <conditionalFormatting sqref="L44:L48">
    <cfRule type="cellIs" priority="23" operator="equal" dxfId="2">
      <formula>'Configuración'!$C$46</formula>
    </cfRule>
    <cfRule type="cellIs" priority="24" operator="equal" dxfId="10">
      <formula>'Configuración'!$C$47</formula>
    </cfRule>
    <cfRule type="cellIs" priority="25" operator="equal" dxfId="1">
      <formula>'Configuración'!$C$48</formula>
    </cfRule>
    <cfRule type="cellIs" priority="26" operator="equal" dxfId="0">
      <formula>'Configuración'!$C$49</formula>
    </cfRule>
  </conditionalFormatting>
  <conditionalFormatting sqref="M44:M48">
    <cfRule type="cellIs" priority="27" operator="equal" dxfId="2">
      <formula>"No"</formula>
    </cfRule>
  </conditionalFormatting>
  <conditionalFormatting sqref="K44:K48">
    <cfRule type="dataBar" priority="28">
      <dataBar showValue="1">
        <cfvo type="num" val="0"/>
        <cfvo type="num" val="25"/>
        <color rgb="00E8746B"/>
      </dataBar>
    </cfRule>
  </conditionalFormatting>
  <pageMargins left="0.4" right="0.4" top="0.5" bottom="0.6" header="0.5" footer="0.5"/>
  <pageSetup orientation="landscape" paperSize="1" fitToHeight="1" fitToWidth="1"/>
  <headerFooter>
    <oddHeader/>
    <oddFooter>&amp;C&amp;"Arial,Italic"&amp;8© Carlos Alberto Ruiz Brito · 05/10/2026 · Delivery con Charly Brito · carlosruizbrito.com · CC BY 4.0</oddFooter>
    <evenHeader/>
    <evenFooter>&amp;C&amp;"Arial,Italic"&amp;8© Carlos Alberto Ruiz Brito · 05/10/2026 · Delivery con Charly Brito · carlosruizbrito.com · CC BY 4.0</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D18"/>
  <sheetViews>
    <sheetView showGridLines="0" workbookViewId="0">
      <selection activeCell="A1" sqref="A1"/>
    </sheetView>
  </sheetViews>
  <sheetFormatPr baseColWidth="8" defaultRowHeight="15"/>
  <cols>
    <col width="2" customWidth="1" min="1" max="1"/>
    <col width="26" customWidth="1" min="2" max="2"/>
    <col width="88" customWidth="1" min="3" max="3"/>
  </cols>
  <sheetData>
    <row r="1" ht="30" customHeight="1">
      <c r="A1" s="1" t="n"/>
      <c r="B1" s="31" t="inlineStr">
        <is>
          <t>Cómo usar este tablero</t>
        </is>
      </c>
      <c r="C1" s="1" t="n"/>
      <c r="D1" s="1" t="n"/>
    </row>
    <row r="2" ht="18" customHeight="1">
      <c r="A2" s="1" t="n"/>
      <c r="B2" s="32" t="inlineStr">
        <is>
          <t>15 minutos por semana · datos de ejemplo ficticios: bórralos y captura los de tu proyecto</t>
        </is>
      </c>
      <c r="C2" s="1" t="n"/>
      <c r="D2" s="1" t="n"/>
    </row>
    <row r="3" ht="10" customHeight="1">
      <c r="A3" s="1" t="n"/>
      <c r="B3" s="1" t="n"/>
      <c r="C3" s="1" t="n"/>
      <c r="D3" s="1" t="n"/>
    </row>
    <row r="5" ht="44" customHeight="1">
      <c r="B5" s="33" t="inlineStr">
        <is>
          <t>Objetivo</t>
        </is>
      </c>
      <c r="C5" s="34" t="inlineStr">
        <is>
          <t>Responder cada semana, en una página, cuatro preguntas: ¿vamos en fecha?, ¿alcanza el dinero?, ¿el cliente está aceptando lo entregado? y ¿qué riesgos pueden cambiar el resultado?</t>
        </is>
      </c>
    </row>
    <row r="6" ht="44" customHeight="1">
      <c r="B6" s="33" t="inlineStr">
        <is>
          <t>1 · Configuración</t>
        </is>
      </c>
      <c r="C6" s="34" t="inlineStr">
        <is>
          <t>Una sola vez: proyecto, moneda, presupuesto aprobado (BAC), umbrales y hasta los textos del semáforo y de los estados. Todo el libro se ajusta solo.</t>
        </is>
      </c>
    </row>
    <row r="7" ht="44" customHeight="1">
      <c r="B7" s="33" t="inlineStr">
        <is>
          <t>2 · Seguimiento semanal</t>
        </is>
      </c>
      <c r="C7" s="34" t="inlineStr">
        <is>
          <t>Al inicio: el plan acumulado de todas las semanas (línea base). Cada viernes: avance real y costo real de la semana cerrada. La semana actual se detecta sola.</t>
        </is>
      </c>
    </row>
    <row r="8" ht="44" customHeight="1">
      <c r="B8" s="33" t="inlineStr">
        <is>
          <t>3 · Entregables</t>
        </is>
      </c>
      <c r="C8" s="34" t="inlineStr">
        <is>
          <t>Estado de cada entregable: Por entregar, Pendiente (en revisión), Observado o Aceptado, con la fecha en que se envió a revisión.</t>
        </is>
      </c>
    </row>
    <row r="9" ht="44" customHeight="1">
      <c r="B9" s="33" t="inlineStr">
        <is>
          <t>4 · Riesgos</t>
        </is>
      </c>
      <c r="C9" s="34" t="inlineStr">
        <is>
          <t>Cada riesgo o problema con responsable, fecha de revisión, disparador y plan de respuesta. Probabilidad e impacto de 1 a 5.</t>
        </is>
      </c>
    </row>
    <row r="10" ht="44" customHeight="1">
      <c r="B10" s="33" t="inlineStr">
        <is>
          <t>5 · Tablero</t>
        </is>
      </c>
      <c r="C10" s="34" t="inlineStr">
        <is>
          <t>Se calcula solo. Solo escribe las decisiones que necesitas de dirección. Imprime o exporta a PDF en una hoja horizontal.</t>
        </is>
      </c>
    </row>
    <row r="11" ht="24" customHeight="1">
      <c r="B11" s="33" t="inlineStr">
        <is>
          <t>Celdas</t>
        </is>
      </c>
      <c r="C11" s="34" t="inlineStr">
        <is>
          <t>Crema con texto azul = captura. Blancas = fórmulas: no las edites.</t>
        </is>
      </c>
    </row>
    <row r="12" ht="44" customHeight="1">
      <c r="B12" s="33" t="inlineStr">
        <is>
          <t>Indicadores</t>
        </is>
      </c>
      <c r="C12" s="34" t="inlineStr">
        <is>
          <t>SPI = EV/PV (cronograma). CPI = EV/AC (costo). EV (valor ganado) = % de avance real × presupuesto total. 1.00 = según plan.</t>
        </is>
      </c>
    </row>
    <row r="13" ht="44" customHeight="1">
      <c r="B13" s="33" t="inlineStr">
        <is>
          <t>Semáforo</t>
        </is>
      </c>
      <c r="C13" s="34" t="inlineStr">
        <is>
          <t>● En línea · ● Atención · ● Crítico. El estado general toma el peor de los cinco indicadores: un tablero en verde con un riesgo crítico abierto no está en verde.</t>
        </is>
      </c>
    </row>
    <row r="14" ht="44" customHeight="1">
      <c r="B14" s="33" t="inlineStr">
        <is>
          <t>Licencia</t>
        </is>
      </c>
      <c r="C14" s="34" t="inlineStr">
        <is>
          <t>CC BY 4.0: puedes usar, copiar y adaptar esta plantilla, incluso con fines comerciales, citando: Carlos Alberto Ruiz Brito · Delivery con Charly Brito · carlosruizbrito.com</t>
        </is>
      </c>
    </row>
    <row r="15" ht="24" customHeight="1">
      <c r="B15" s="33" t="inlineStr">
        <is>
          <t>Versión</t>
        </is>
      </c>
      <c r="C15" s="34" t="inlineStr">
        <is>
          <t>v1.0 · 05/10/2026</t>
        </is>
      </c>
    </row>
    <row r="18">
      <c r="B18" s="30" t="inlineStr">
        <is>
          <t>© Carlos Alberto Ruiz Brito · 05/10/2026 · Delivery con Charly Brito · carlosruizbrito.com · Licencia CC BY 4.0 (uso y adaptación citando al autor)</t>
        </is>
      </c>
    </row>
  </sheetData>
  <pageMargins left="0.4" right="0.4" top="0.5" bottom="0.6" header="0.5" footer="0.5"/>
  <pageSetup orientation="portrait" paperSize="1" fitToHeight="0" fitToWidth="1"/>
  <headerFooter>
    <oddHeader/>
    <oddFooter>&amp;C&amp;"Arial,Italic"&amp;8© Carlos Alberto Ruiz Brito · 05/10/2026 · Delivery con Charly Brito · carlosruizbrito.com · CC BY 4.0</oddFooter>
    <evenHeader/>
    <evenFooter>&amp;C&amp;"Arial,Italic"&amp;8© Carlos Alberto Ruiz Brito · 05/10/2026 · Delivery con Charly Brito · carlosruizbrito.com · CC BY 4.0</evenFooter>
    <firstHeader/>
    <firstFooter/>
  </headerFooter>
</worksheet>
</file>

<file path=xl/worksheets/sheet3.xml><?xml version="1.0" encoding="utf-8"?>
<worksheet xmlns="http://schemas.openxmlformats.org/spreadsheetml/2006/main">
  <sheetPr>
    <outlinePr summaryBelow="1" summaryRight="1"/>
    <pageSetUpPr fitToPage="1"/>
  </sheetPr>
  <dimension ref="A1:I51"/>
  <sheetViews>
    <sheetView showGridLines="0" workbookViewId="0">
      <pane ySplit="5" topLeftCell="A6" activePane="bottomLeft" state="frozen"/>
      <selection pane="bottomLeft" activeCell="A1" sqref="A1"/>
    </sheetView>
  </sheetViews>
  <sheetFormatPr baseColWidth="8" defaultRowHeight="15"/>
  <cols>
    <col width="2" customWidth="1" min="1" max="1"/>
    <col width="40" customWidth="1" min="2" max="2"/>
    <col width="40" customWidth="1" min="3" max="3"/>
    <col width="52" customWidth="1" min="4" max="4"/>
    <col width="3" customWidth="1" min="5" max="5"/>
    <col width="12" customWidth="1" min="6" max="6"/>
    <col width="12" customWidth="1" min="7" max="7"/>
    <col width="10" customWidth="1" min="8" max="8"/>
    <col width="2" customWidth="1" min="9" max="9"/>
  </cols>
  <sheetData>
    <row r="1" ht="30" customHeight="1">
      <c r="A1" s="1" t="n"/>
      <c r="B1" s="31" t="inlineStr">
        <is>
          <t>Configuración</t>
        </is>
      </c>
      <c r="C1" s="1" t="n"/>
      <c r="D1" s="1" t="n"/>
      <c r="E1" s="1" t="n"/>
      <c r="F1" s="1" t="n"/>
      <c r="G1" s="1" t="n"/>
      <c r="H1" s="1" t="n"/>
      <c r="I1" s="1" t="n"/>
    </row>
    <row r="2" ht="18" customHeight="1">
      <c r="A2" s="1" t="n"/>
      <c r="B2" s="32" t="inlineStr">
        <is>
          <t>Todo lo que hace dinámico al tablero: proyecto, moneda, umbrales y textos. Celdas crema = editables.</t>
        </is>
      </c>
      <c r="C2" s="1" t="n"/>
      <c r="D2" s="1" t="n"/>
      <c r="E2" s="1" t="n"/>
      <c r="F2" s="1" t="n"/>
      <c r="G2" s="1" t="n"/>
      <c r="H2" s="1" t="n"/>
      <c r="I2" s="1" t="n"/>
    </row>
    <row r="3" ht="10" customHeight="1">
      <c r="A3" s="1" t="n"/>
      <c r="B3" s="1" t="n"/>
      <c r="C3" s="1" t="n"/>
      <c r="D3" s="1" t="n"/>
      <c r="E3" s="1" t="n"/>
      <c r="F3" s="1" t="n"/>
      <c r="G3" s="1" t="n"/>
      <c r="H3" s="1" t="n"/>
      <c r="I3" s="1" t="n"/>
    </row>
    <row r="5" ht="22" customHeight="1">
      <c r="B5" s="35" t="inlineStr">
        <is>
          <t>Parámetro</t>
        </is>
      </c>
      <c r="C5" s="35" t="inlineStr">
        <is>
          <t>Valor</t>
        </is>
      </c>
      <c r="D5" s="35" t="inlineStr">
        <is>
          <t>Para qué sirve</t>
        </is>
      </c>
    </row>
    <row r="6" ht="24" customHeight="1">
      <c r="B6" s="36" t="inlineStr">
        <is>
          <t>1 · Proyecto</t>
        </is>
      </c>
      <c r="F6" s="37" t="inlineStr">
        <is>
          <t>Moneda</t>
        </is>
      </c>
      <c r="G6" s="37" t="inlineStr">
        <is>
          <t>Símbolo</t>
        </is>
      </c>
    </row>
    <row r="7" ht="19" customHeight="1">
      <c r="B7" s="38" t="inlineStr">
        <is>
          <t>Proyecto</t>
        </is>
      </c>
      <c r="C7" s="39" t="inlineStr">
        <is>
          <t>Proyecto Demo · Migración de plataforma</t>
        </is>
      </c>
      <c r="D7" s="40" t="inlineStr">
        <is>
          <t>Nombre en el encabezado del tablero (ejemplo ficticio)</t>
        </is>
      </c>
      <c r="F7" s="41" t="inlineStr">
        <is>
          <t>MXN</t>
        </is>
      </c>
      <c r="G7" s="41" t="inlineStr">
        <is>
          <t>$</t>
        </is>
      </c>
    </row>
    <row r="8" ht="19" customHeight="1">
      <c r="B8" s="38" t="inlineStr">
        <is>
          <t>Cliente / patrocinador</t>
        </is>
      </c>
      <c r="C8" s="39" t="inlineStr">
        <is>
          <t>Cliente Demo</t>
        </is>
      </c>
      <c r="D8" s="40" t="inlineStr">
        <is>
          <t>Ejemplo ficticio</t>
        </is>
      </c>
      <c r="F8" s="41" t="inlineStr">
        <is>
          <t>USD</t>
        </is>
      </c>
      <c r="G8" s="41" t="inlineStr">
        <is>
          <t>US$</t>
        </is>
      </c>
    </row>
    <row r="9" ht="19" customHeight="1">
      <c r="B9" s="38" t="inlineStr">
        <is>
          <t>Responsable del reporte</t>
        </is>
      </c>
      <c r="C9" s="39" t="inlineStr">
        <is>
          <t>[Tu nombre]</t>
        </is>
      </c>
      <c r="D9" s="40" t="inlineStr">
        <is>
          <t>Quien firma el reporte</t>
        </is>
      </c>
      <c r="F9" s="41" t="inlineStr">
        <is>
          <t>EUR</t>
        </is>
      </c>
      <c r="G9" s="41" t="inlineStr">
        <is>
          <t>€</t>
        </is>
      </c>
    </row>
    <row r="10" ht="19" customHeight="1">
      <c r="B10" s="38" t="inlineStr">
        <is>
          <t>Nombre del periodo</t>
        </is>
      </c>
      <c r="C10" s="39" t="inlineStr">
        <is>
          <t>Semana</t>
        </is>
      </c>
      <c r="D10" s="40" t="inlineStr">
        <is>
          <t>Semana, Sprint, Quincena… Se usa en encabezados y textos</t>
        </is>
      </c>
      <c r="F10" s="41" t="inlineStr">
        <is>
          <t>COP</t>
        </is>
      </c>
      <c r="G10" s="41" t="inlineStr">
        <is>
          <t>COL$</t>
        </is>
      </c>
    </row>
    <row r="11">
      <c r="F11" s="41" t="inlineStr">
        <is>
          <t>CLP</t>
        </is>
      </c>
      <c r="G11" s="41" t="inlineStr">
        <is>
          <t>CLP$</t>
        </is>
      </c>
    </row>
    <row r="12" ht="24" customHeight="1">
      <c r="B12" s="36" t="inlineStr">
        <is>
          <t>2 · Moneda y presupuesto</t>
        </is>
      </c>
      <c r="F12" s="41" t="inlineStr">
        <is>
          <t>PEN</t>
        </is>
      </c>
      <c r="G12" s="41" t="inlineStr">
        <is>
          <t>S/</t>
        </is>
      </c>
    </row>
    <row r="13" ht="19" customHeight="1">
      <c r="B13" s="38" t="inlineStr">
        <is>
          <t>Moneda</t>
        </is>
      </c>
      <c r="C13" s="39" t="inlineStr">
        <is>
          <t>MXN</t>
        </is>
      </c>
      <c r="D13" s="40" t="inlineStr">
        <is>
          <t>Elige de la tabla de monedas (columna F); puedes agregar otras</t>
        </is>
      </c>
      <c r="F13" s="41" t="inlineStr">
        <is>
          <t>ARS</t>
        </is>
      </c>
      <c r="G13" s="41" t="inlineStr">
        <is>
          <t>AR$</t>
        </is>
      </c>
    </row>
    <row r="14" ht="19" customHeight="1">
      <c r="B14" s="38" t="inlineStr">
        <is>
          <t>Símbolo (automático)</t>
        </is>
      </c>
      <c r="C14" s="42">
        <f>IFERROR(VLOOKUP(C13,$F$7:$G$16,2,0),"$")</f>
        <v/>
      </c>
      <c r="D14" s="40" t="inlineStr">
        <is>
          <t>Se toma de la tabla de monedas</t>
        </is>
      </c>
      <c r="F14" s="41" t="inlineStr">
        <is>
          <t>BRL</t>
        </is>
      </c>
      <c r="G14" s="41" t="inlineStr">
        <is>
          <t>R$</t>
        </is>
      </c>
    </row>
    <row r="15" ht="19" customHeight="1">
      <c r="B15" s="38" t="inlineStr">
        <is>
          <t>Presupuesto total aprobado (BAC)</t>
        </is>
      </c>
      <c r="C15" s="43" t="n">
        <v>2400000</v>
      </c>
      <c r="D15" s="40" t="inlineStr">
        <is>
          <t>Base del valor ganado: EV = % avance real × BAC</t>
        </is>
      </c>
      <c r="F15" s="41" t="inlineStr">
        <is>
          <t>GTQ</t>
        </is>
      </c>
      <c r="G15" s="41" t="inlineStr">
        <is>
          <t>Q</t>
        </is>
      </c>
    </row>
    <row r="16" ht="19" customHeight="1">
      <c r="B16" s="38" t="inlineStr">
        <is>
          <t>Mostrar montos en</t>
        </is>
      </c>
      <c r="C16" s="39" t="inlineStr">
        <is>
          <t>Miles</t>
        </is>
      </c>
      <c r="D16" s="40" t="inlineStr">
        <is>
          <t>Unidades, Miles o Millones (tablero y tarjetas)</t>
        </is>
      </c>
      <c r="F16" s="41" t="inlineStr">
        <is>
          <t>CAD</t>
        </is>
      </c>
      <c r="G16" s="41" t="inlineStr">
        <is>
          <t>C$</t>
        </is>
      </c>
    </row>
    <row r="17" ht="19" customHeight="1">
      <c r="B17" s="38" t="inlineStr">
        <is>
          <t>Divisor (automático)</t>
        </is>
      </c>
      <c r="C17" s="44">
        <f>IFERROR(VLOOKUP(C16,$F$19:$H$21,2,0),1)</f>
        <v/>
      </c>
      <c r="D17" s="40" t="inlineStr"/>
    </row>
    <row r="18" ht="19" customHeight="1">
      <c r="B18" s="38" t="inlineStr">
        <is>
          <t>Sufijo (automático)</t>
        </is>
      </c>
      <c r="C18" s="42">
        <f>IFERROR(VLOOKUP(C16,$F$19:$H$21,3,0),"")</f>
        <v/>
      </c>
      <c r="D18" s="40" t="inlineStr"/>
      <c r="F18" s="37" t="inlineStr">
        <is>
          <t>Mostrar</t>
        </is>
      </c>
      <c r="G18" s="37" t="inlineStr">
        <is>
          <t>Divisor</t>
        </is>
      </c>
      <c r="H18" s="37" t="inlineStr">
        <is>
          <t>Sufijo</t>
        </is>
      </c>
    </row>
    <row r="19">
      <c r="F19" s="41" t="inlineStr">
        <is>
          <t>Unidades</t>
        </is>
      </c>
      <c r="G19" s="45" t="n">
        <v>1</v>
      </c>
      <c r="H19" s="41" t="inlineStr"/>
    </row>
    <row r="20" ht="24" customHeight="1">
      <c r="B20" s="36" t="inlineStr">
        <is>
          <t>3 · Umbrales del semáforo</t>
        </is>
      </c>
      <c r="F20" s="41" t="inlineStr">
        <is>
          <t>Miles</t>
        </is>
      </c>
      <c r="G20" s="45" t="n">
        <v>1000</v>
      </c>
      <c r="H20" s="41" t="inlineStr">
        <is>
          <t>k</t>
        </is>
      </c>
    </row>
    <row r="21" ht="19" customHeight="1">
      <c r="B21" s="38" t="inlineStr">
        <is>
          <t>Avance: atención desde (puntos de retraso)</t>
        </is>
      </c>
      <c r="C21" s="46" t="n">
        <v>0.05</v>
      </c>
      <c r="D21" s="40" t="inlineStr">
        <is>
          <t>Retraso contra la línea base que dispara alerta</t>
        </is>
      </c>
      <c r="F21" s="41" t="inlineStr">
        <is>
          <t>Millones</t>
        </is>
      </c>
      <c r="G21" s="45" t="n">
        <v>1000000</v>
      </c>
      <c r="H21" s="41" t="inlineStr">
        <is>
          <t>M</t>
        </is>
      </c>
    </row>
    <row r="22" ht="19" customHeight="1">
      <c r="B22" s="38" t="inlineStr">
        <is>
          <t>Avance: crítico desde (puntos de retraso)</t>
        </is>
      </c>
      <c r="C22" s="46" t="n">
        <v>0.1</v>
      </c>
      <c r="D22" s="40" t="inlineStr"/>
    </row>
    <row r="23" ht="19" customHeight="1">
      <c r="B23" s="38" t="inlineStr">
        <is>
          <t>SPI / CPI: atención por debajo de</t>
        </is>
      </c>
      <c r="C23" s="47" t="n">
        <v>0.95</v>
      </c>
      <c r="D23" s="40" t="inlineStr">
        <is>
          <t>1.00 = según plan</t>
        </is>
      </c>
    </row>
    <row r="24" ht="19" customHeight="1">
      <c r="B24" s="38" t="inlineStr">
        <is>
          <t>SPI / CPI: crítico por debajo de</t>
        </is>
      </c>
      <c r="C24" s="47" t="n">
        <v>0.9</v>
      </c>
      <c r="D24" s="40" t="inlineStr"/>
    </row>
    <row r="25" ht="19" customHeight="1">
      <c r="B25" s="38" t="inlineStr">
        <is>
          <t>Aceptación: días máximos en revisión</t>
        </is>
      </c>
      <c r="C25" s="48" t="n">
        <v>15</v>
      </c>
      <c r="D25" s="40" t="inlineStr">
        <is>
          <t>Pasado este plazo, el entregable se escala</t>
        </is>
      </c>
    </row>
    <row r="26" ht="19" customHeight="1">
      <c r="B26" s="38" t="inlineStr">
        <is>
          <t>Riesgo crítico desde severidad</t>
        </is>
      </c>
      <c r="C26" s="48" t="n">
        <v>15</v>
      </c>
      <c r="D26" s="40" t="inlineStr">
        <is>
          <t>Severidad = probabilidad × impacto (1–25)</t>
        </is>
      </c>
    </row>
    <row r="27" ht="19" customHeight="1">
      <c r="B27" s="38" t="inlineStr">
        <is>
          <t>Riesgo alto desde severidad</t>
        </is>
      </c>
      <c r="C27" s="48" t="n">
        <v>8</v>
      </c>
      <c r="D27" s="40" t="inlineStr"/>
    </row>
    <row r="28" ht="19" customHeight="1">
      <c r="B28" s="38" t="inlineStr">
        <is>
          <t>Riesgo medio desde severidad</t>
        </is>
      </c>
      <c r="C28" s="48" t="n">
        <v>4</v>
      </c>
      <c r="D28" s="40" t="inlineStr">
        <is>
          <t>Por debajo = bajo</t>
        </is>
      </c>
    </row>
    <row r="30" ht="24" customHeight="1">
      <c r="B30" s="36" t="inlineStr">
        <is>
          <t>4 · Textos del semáforo</t>
        </is>
      </c>
    </row>
    <row r="31" ht="19" customHeight="1">
      <c r="B31" s="38" t="inlineStr">
        <is>
          <t>Estado verde</t>
        </is>
      </c>
      <c r="C31" s="39" t="inlineStr">
        <is>
          <t>En línea</t>
        </is>
      </c>
      <c r="D31" s="40" t="inlineStr">
        <is>
          <t>Ej. On track, Verde, OK · cambia los textos antes de capturar</t>
        </is>
      </c>
    </row>
    <row r="32" ht="19" customHeight="1">
      <c r="B32" s="38" t="inlineStr">
        <is>
          <t>Estado amarillo</t>
        </is>
      </c>
      <c r="C32" s="39" t="inlineStr">
        <is>
          <t>Atención</t>
        </is>
      </c>
      <c r="D32" s="40" t="inlineStr">
        <is>
          <t>Ej. At risk, Amarillo</t>
        </is>
      </c>
    </row>
    <row r="33" ht="19" customHeight="1">
      <c r="B33" s="38" t="inlineStr">
        <is>
          <t>Estado rojo</t>
        </is>
      </c>
      <c r="C33" s="39" t="inlineStr">
        <is>
          <t>Crítico</t>
        </is>
      </c>
      <c r="D33" s="40" t="inlineStr">
        <is>
          <t>Ej. Off track, Rojo</t>
        </is>
      </c>
    </row>
    <row r="35" ht="24" customHeight="1">
      <c r="B35" s="36" t="inlineStr">
        <is>
          <t>5 · Estados de entregable</t>
        </is>
      </c>
    </row>
    <row r="36" ht="19" customHeight="1">
      <c r="B36" s="38" t="inlineStr">
        <is>
          <t>Aún no entregado</t>
        </is>
      </c>
      <c r="C36" s="39" t="inlineStr">
        <is>
          <t>Por entregar</t>
        </is>
      </c>
      <c r="D36" s="40" t="inlineStr">
        <is>
          <t>Cambia los textos ANTES de capturar datos</t>
        </is>
      </c>
    </row>
    <row r="37" ht="19" customHeight="1">
      <c r="B37" s="38" t="inlineStr">
        <is>
          <t>En revisión del cliente</t>
        </is>
      </c>
      <c r="C37" s="39" t="inlineStr">
        <is>
          <t>Pendiente</t>
        </is>
      </c>
      <c r="D37" s="40" t="inlineStr"/>
    </row>
    <row r="38" ht="19" customHeight="1">
      <c r="B38" s="38" t="inlineStr">
        <is>
          <t>Con observaciones</t>
        </is>
      </c>
      <c r="C38" s="39" t="inlineStr">
        <is>
          <t>Observado</t>
        </is>
      </c>
      <c r="D38" s="40" t="inlineStr"/>
    </row>
    <row r="39" ht="19" customHeight="1">
      <c r="B39" s="38" t="inlineStr">
        <is>
          <t>Aceptado formalmente</t>
        </is>
      </c>
      <c r="C39" s="39" t="inlineStr">
        <is>
          <t>Aceptado</t>
        </is>
      </c>
      <c r="D39" s="40" t="inlineStr"/>
    </row>
    <row r="41" ht="24" customHeight="1">
      <c r="B41" s="36" t="inlineStr">
        <is>
          <t>6 · Riesgos</t>
        </is>
      </c>
    </row>
    <row r="42" ht="19" customHeight="1">
      <c r="B42" s="38" t="inlineStr">
        <is>
          <t>Tipo 1</t>
        </is>
      </c>
      <c r="C42" s="39" t="inlineStr">
        <is>
          <t>Riesgo</t>
        </is>
      </c>
      <c r="D42" s="40" t="inlineStr">
        <is>
          <t>Aún no ocurre</t>
        </is>
      </c>
    </row>
    <row r="43" ht="19" customHeight="1">
      <c r="B43" s="38" t="inlineStr">
        <is>
          <t>Tipo 2</t>
        </is>
      </c>
      <c r="C43" s="39" t="inlineStr">
        <is>
          <t>Problema</t>
        </is>
      </c>
      <c r="D43" s="40" t="inlineStr">
        <is>
          <t>Ya se materializó</t>
        </is>
      </c>
    </row>
    <row r="44" ht="19" customHeight="1">
      <c r="B44" s="38" t="inlineStr">
        <is>
          <t>Estado abierto</t>
        </is>
      </c>
      <c r="C44" s="39" t="inlineStr">
        <is>
          <t>Abierto</t>
        </is>
      </c>
      <c r="D44" s="40" t="inlineStr"/>
    </row>
    <row r="45" ht="19" customHeight="1">
      <c r="B45" s="38" t="inlineStr">
        <is>
          <t>Estado cerrado</t>
        </is>
      </c>
      <c r="C45" s="39" t="inlineStr">
        <is>
          <t>Cerrado</t>
        </is>
      </c>
      <c r="D45" s="40" t="inlineStr"/>
    </row>
    <row r="46" ht="19" customHeight="1">
      <c r="B46" s="38" t="inlineStr">
        <is>
          <t>Nivel 1</t>
        </is>
      </c>
      <c r="C46" s="39" t="inlineStr">
        <is>
          <t>Crítico</t>
        </is>
      </c>
      <c r="D46" s="40" t="inlineStr">
        <is>
          <t>Severidad ≥ umbral crítico</t>
        </is>
      </c>
    </row>
    <row r="47" ht="19" customHeight="1">
      <c r="B47" s="38" t="inlineStr">
        <is>
          <t>Nivel 2</t>
        </is>
      </c>
      <c r="C47" s="39" t="inlineStr">
        <is>
          <t>Alto</t>
        </is>
      </c>
      <c r="D47" s="40" t="inlineStr"/>
    </row>
    <row r="48" ht="19" customHeight="1">
      <c r="B48" s="38" t="inlineStr">
        <is>
          <t>Nivel 3</t>
        </is>
      </c>
      <c r="C48" s="39" t="inlineStr">
        <is>
          <t>Medio</t>
        </is>
      </c>
      <c r="D48" s="40" t="inlineStr"/>
    </row>
    <row r="49" ht="19" customHeight="1">
      <c r="B49" s="38" t="inlineStr">
        <is>
          <t>Nivel 4</t>
        </is>
      </c>
      <c r="C49" s="39" t="inlineStr">
        <is>
          <t>Bajo</t>
        </is>
      </c>
      <c r="D49" s="40" t="inlineStr"/>
    </row>
    <row r="51">
      <c r="B51" s="30" t="inlineStr">
        <is>
          <t>© Carlos Alberto Ruiz Brito · 05/10/2026 · Delivery con Charly Brito · carlosruizbrito.com · Licencia CC BY 4.0 (uso y adaptación citando al autor)</t>
        </is>
      </c>
    </row>
  </sheetData>
  <dataValidations count="2">
    <dataValidation sqref="C13" showDropDown="0" showInputMessage="0" showErrorMessage="0" allowBlank="0" type="list">
      <formula1>$F$7:$F$16</formula1>
    </dataValidation>
    <dataValidation sqref="C16" showDropDown="0" showInputMessage="0" showErrorMessage="0" allowBlank="0" type="list">
      <formula1>$F$19:$F$21</formula1>
    </dataValidation>
  </dataValidations>
  <pageMargins left="0.4" right="0.4" top="0.5" bottom="0.6" header="0.5" footer="0.5"/>
  <pageSetup orientation="portrait" paperSize="1" fitToHeight="0" fitToWidth="1"/>
  <headerFooter>
    <oddHeader/>
    <oddFooter>&amp;C&amp;"Arial,Italic"&amp;8© Carlos Alberto Ruiz Brito · 05/10/2026 · Delivery con Charly Brito · carlosruizbrito.com · CC BY 4.0</oddFooter>
    <evenHeader/>
    <evenFooter>&amp;C&amp;"Arial,Italic"&amp;8© Carlos Alberto Ruiz Brito · 05/10/2026 · Delivery con Charly Brito · carlosruizbrito.com · CC BY 4.0</evenFooter>
    <firstHeader/>
    <firstFooter/>
  </headerFooter>
</worksheet>
</file>

<file path=xl/worksheets/sheet4.xml><?xml version="1.0" encoding="utf-8"?>
<worksheet xmlns="http://schemas.openxmlformats.org/spreadsheetml/2006/main">
  <sheetPr>
    <outlinePr summaryBelow="1" summaryRight="1"/>
    <pageSetUpPr fitToPage="1"/>
  </sheetPr>
  <dimension ref="A1:M32"/>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9" customWidth="1" min="2" max="2"/>
    <col width="13" customWidth="1" min="3" max="3"/>
    <col width="13" customWidth="1" min="4" max="4"/>
    <col width="13" customWidth="1" min="5" max="5"/>
    <col width="16" customWidth="1" min="6" max="6"/>
    <col width="16" customWidth="1" min="7" max="7"/>
    <col width="16" customWidth="1" min="8" max="8"/>
    <col width="10" customWidth="1" min="9" max="9"/>
    <col width="10" customWidth="1" min="10" max="10"/>
    <col width="13" customWidth="1" min="11" max="11"/>
    <col width="14" customWidth="1" min="12" max="12"/>
    <col width="2" customWidth="1" min="13" max="13"/>
  </cols>
  <sheetData>
    <row r="1" ht="30" customHeight="1">
      <c r="A1" s="1" t="n"/>
      <c r="B1" s="31" t="inlineStr">
        <is>
          <t>Seguimiento semanal</t>
        </is>
      </c>
      <c r="C1" s="1" t="n"/>
      <c r="D1" s="1" t="n"/>
      <c r="E1" s="1" t="n"/>
      <c r="F1" s="1" t="n"/>
      <c r="G1" s="1" t="n"/>
      <c r="H1" s="1" t="n"/>
      <c r="I1" s="1" t="n"/>
      <c r="J1" s="1" t="n"/>
      <c r="K1" s="1" t="n"/>
      <c r="L1" s="1" t="n"/>
      <c r="M1" s="1" t="n"/>
    </row>
    <row r="2" ht="18" customHeight="1">
      <c r="A2" s="1" t="n"/>
      <c r="B2" s="32" t="inlineStr">
        <is>
          <t>Captura plan (todas las semanas) y real (solo semanas cerradas). Valor ganado, SPI y CPI se calculan solos.</t>
        </is>
      </c>
      <c r="C2" s="1" t="n"/>
      <c r="D2" s="1" t="n"/>
      <c r="E2" s="1" t="n"/>
      <c r="F2" s="1" t="n"/>
      <c r="G2" s="1" t="n"/>
      <c r="H2" s="1" t="n"/>
      <c r="I2" s="1" t="n"/>
      <c r="J2" s="1" t="n"/>
      <c r="K2" s="1" t="n"/>
      <c r="L2" s="1" t="n"/>
      <c r="M2" s="1" t="n"/>
    </row>
    <row r="3" ht="10" customHeight="1">
      <c r="A3" s="1" t="n"/>
      <c r="B3" s="1" t="n"/>
      <c r="C3" s="1" t="n"/>
      <c r="D3" s="1" t="n"/>
      <c r="E3" s="1" t="n"/>
      <c r="F3" s="1" t="n"/>
      <c r="G3" s="1" t="n"/>
      <c r="H3" s="1" t="n"/>
      <c r="I3" s="1" t="n"/>
      <c r="J3" s="1" t="n"/>
      <c r="K3" s="1" t="n"/>
      <c r="L3" s="1" t="n"/>
      <c r="M3" s="1" t="n"/>
    </row>
    <row r="5" ht="36" customHeight="1">
      <c r="B5" s="35">
        <f>'Configuración'!$C$10</f>
        <v/>
      </c>
      <c r="C5" s="35" t="inlineStr">
        <is>
          <t>Fecha de corte</t>
        </is>
      </c>
      <c r="D5" s="35" t="inlineStr">
        <is>
          <t>Avance plan (acum.)</t>
        </is>
      </c>
      <c r="E5" s="35" t="inlineStr">
        <is>
          <t>Avance real (acum.)</t>
        </is>
      </c>
      <c r="F5" s="35">
        <f>"Costo plan PV ("&amp;'Configuración'!$C$13&amp;")"</f>
        <v/>
      </c>
      <c r="G5" s="35">
        <f>"Costo real AC ("&amp;'Configuración'!$C$13&amp;")"</f>
        <v/>
      </c>
      <c r="H5" s="35">
        <f>"Valor ganado EV ("&amp;'Configuración'!$C$13&amp;")"</f>
        <v/>
      </c>
      <c r="I5" s="35" t="inlineStr">
        <is>
          <t>SPI</t>
        </is>
      </c>
      <c r="J5" s="35" t="inlineStr">
        <is>
          <t>CPI</t>
        </is>
      </c>
      <c r="K5" s="35" t="inlineStr">
        <is>
          <t>Desviación avance (pts)</t>
        </is>
      </c>
      <c r="L5" s="35" t="inlineStr">
        <is>
          <t>Estado</t>
        </is>
      </c>
    </row>
    <row r="6" ht="18" customHeight="1">
      <c r="B6" s="49" t="n">
        <v>1</v>
      </c>
      <c r="C6" s="50" t="n">
        <v>46262</v>
      </c>
      <c r="D6" s="51" t="n">
        <v>0.03</v>
      </c>
      <c r="E6" s="51" t="n">
        <v>0.03</v>
      </c>
      <c r="F6" s="52" t="n">
        <v>72000</v>
      </c>
      <c r="G6" s="52" t="n">
        <v>72000</v>
      </c>
      <c r="H6" s="53">
        <f>IF(E6="","",E6*'Configuración'!$C$15)</f>
        <v/>
      </c>
      <c r="I6" s="54">
        <f>IF(OR(H6="",F6="",F6=0),"",H6/F6)</f>
        <v/>
      </c>
      <c r="J6" s="54">
        <f>IF(OR(H6="",G6="",G6=0),"",H6/G6)</f>
        <v/>
      </c>
      <c r="K6" s="55">
        <f>IF(E6="","",E6-D6)</f>
        <v/>
      </c>
      <c r="L6" s="56">
        <f>IF(E6="","",IF(OR(-K6&gt;='Configuración'!$C$22,I6&lt;'Configuración'!$C$24,J6&lt;'Configuración'!$C$24),"● "&amp;'Configuración'!$C$33,IF(OR(-K6&gt;='Configuración'!$C$21,I6&lt;'Configuración'!$C$23,J6&lt;'Configuración'!$C$23),"● "&amp;'Configuración'!$C$32,"● "&amp;'Configuración'!$C$31)))</f>
        <v/>
      </c>
    </row>
    <row r="7" ht="18" customHeight="1">
      <c r="B7" s="49" t="n">
        <v>2</v>
      </c>
      <c r="C7" s="50" t="n">
        <v>46269</v>
      </c>
      <c r="D7" s="51" t="n">
        <v>0.08</v>
      </c>
      <c r="E7" s="51" t="n">
        <v>0.08</v>
      </c>
      <c r="F7" s="52" t="n">
        <v>192000</v>
      </c>
      <c r="G7" s="52" t="n">
        <v>195000</v>
      </c>
      <c r="H7" s="53">
        <f>IF(E7="","",E7*'Configuración'!$C$15)</f>
        <v/>
      </c>
      <c r="I7" s="54">
        <f>IF(OR(H7="",F7="",F7=0),"",H7/F7)</f>
        <v/>
      </c>
      <c r="J7" s="54">
        <f>IF(OR(H7="",G7="",G7=0),"",H7/G7)</f>
        <v/>
      </c>
      <c r="K7" s="55">
        <f>IF(E7="","",E7-D7)</f>
        <v/>
      </c>
      <c r="L7" s="56">
        <f>IF(E7="","",IF(OR(-K7&gt;='Configuración'!$C$22,I7&lt;'Configuración'!$C$24,J7&lt;'Configuración'!$C$24),"● "&amp;'Configuración'!$C$33,IF(OR(-K7&gt;='Configuración'!$C$21,I7&lt;'Configuración'!$C$23,J7&lt;'Configuración'!$C$23),"● "&amp;'Configuración'!$C$32,"● "&amp;'Configuración'!$C$31)))</f>
        <v/>
      </c>
    </row>
    <row r="8" ht="18" customHeight="1">
      <c r="B8" s="49" t="n">
        <v>3</v>
      </c>
      <c r="C8" s="50" t="n">
        <v>46276</v>
      </c>
      <c r="D8" s="51" t="n">
        <v>0.15</v>
      </c>
      <c r="E8" s="51" t="n">
        <v>0.14</v>
      </c>
      <c r="F8" s="52" t="n">
        <v>360000</v>
      </c>
      <c r="G8" s="52" t="n">
        <v>345000</v>
      </c>
      <c r="H8" s="53">
        <f>IF(E8="","",E8*'Configuración'!$C$15)</f>
        <v/>
      </c>
      <c r="I8" s="54">
        <f>IF(OR(H8="",F8="",F8=0),"",H8/F8)</f>
        <v/>
      </c>
      <c r="J8" s="54">
        <f>IF(OR(H8="",G8="",G8=0),"",H8/G8)</f>
        <v/>
      </c>
      <c r="K8" s="55">
        <f>IF(E8="","",E8-D8)</f>
        <v/>
      </c>
      <c r="L8" s="56">
        <f>IF(E8="","",IF(OR(-K8&gt;='Configuración'!$C$22,I8&lt;'Configuración'!$C$24,J8&lt;'Configuración'!$C$24),"● "&amp;'Configuración'!$C$33,IF(OR(-K8&gt;='Configuración'!$C$21,I8&lt;'Configuración'!$C$23,J8&lt;'Configuración'!$C$23),"● "&amp;'Configuración'!$C$32,"● "&amp;'Configuración'!$C$31)))</f>
        <v/>
      </c>
    </row>
    <row r="9" ht="18" customHeight="1">
      <c r="B9" s="49" t="n">
        <v>4</v>
      </c>
      <c r="C9" s="50" t="n">
        <v>46283</v>
      </c>
      <c r="D9" s="51" t="n">
        <v>0.24</v>
      </c>
      <c r="E9" s="51" t="n">
        <v>0.22</v>
      </c>
      <c r="F9" s="52" t="n">
        <v>576000</v>
      </c>
      <c r="G9" s="52" t="n">
        <v>540000</v>
      </c>
      <c r="H9" s="53">
        <f>IF(E9="","",E9*'Configuración'!$C$15)</f>
        <v/>
      </c>
      <c r="I9" s="54">
        <f>IF(OR(H9="",F9="",F9=0),"",H9/F9)</f>
        <v/>
      </c>
      <c r="J9" s="54">
        <f>IF(OR(H9="",G9="",G9=0),"",H9/G9)</f>
        <v/>
      </c>
      <c r="K9" s="55">
        <f>IF(E9="","",E9-D9)</f>
        <v/>
      </c>
      <c r="L9" s="56">
        <f>IF(E9="","",IF(OR(-K9&gt;='Configuración'!$C$22,I9&lt;'Configuración'!$C$24,J9&lt;'Configuración'!$C$24),"● "&amp;'Configuración'!$C$33,IF(OR(-K9&gt;='Configuración'!$C$21,I9&lt;'Configuración'!$C$23,J9&lt;'Configuración'!$C$23),"● "&amp;'Configuración'!$C$32,"● "&amp;'Configuración'!$C$31)))</f>
        <v/>
      </c>
    </row>
    <row r="10" ht="18" customHeight="1">
      <c r="B10" s="49" t="n">
        <v>5</v>
      </c>
      <c r="C10" s="50" t="n">
        <v>46290</v>
      </c>
      <c r="D10" s="51" t="n">
        <v>0.34</v>
      </c>
      <c r="E10" s="51" t="n">
        <v>0.31</v>
      </c>
      <c r="F10" s="52" t="n">
        <v>816000</v>
      </c>
      <c r="G10" s="52" t="n">
        <v>760000</v>
      </c>
      <c r="H10" s="53">
        <f>IF(E10="","",E10*'Configuración'!$C$15)</f>
        <v/>
      </c>
      <c r="I10" s="54">
        <f>IF(OR(H10="",F10="",F10=0),"",H10/F10)</f>
        <v/>
      </c>
      <c r="J10" s="54">
        <f>IF(OR(H10="",G10="",G10=0),"",H10/G10)</f>
        <v/>
      </c>
      <c r="K10" s="55">
        <f>IF(E10="","",E10-D10)</f>
        <v/>
      </c>
      <c r="L10" s="56">
        <f>IF(E10="","",IF(OR(-K10&gt;='Configuración'!$C$22,I10&lt;'Configuración'!$C$24,J10&lt;'Configuración'!$C$24),"● "&amp;'Configuración'!$C$33,IF(OR(-K10&gt;='Configuración'!$C$21,I10&lt;'Configuración'!$C$23,J10&lt;'Configuración'!$C$23),"● "&amp;'Configuración'!$C$32,"● "&amp;'Configuración'!$C$31)))</f>
        <v/>
      </c>
    </row>
    <row r="11" ht="18" customHeight="1">
      <c r="B11" s="49" t="n">
        <v>6</v>
      </c>
      <c r="C11" s="50" t="n">
        <v>46297</v>
      </c>
      <c r="D11" s="51" t="n">
        <v>0.45</v>
      </c>
      <c r="E11" s="51" t="n">
        <v>0.41</v>
      </c>
      <c r="F11" s="52" t="n">
        <v>1080000</v>
      </c>
      <c r="G11" s="52" t="n">
        <v>1000000</v>
      </c>
      <c r="H11" s="53">
        <f>IF(E11="","",E11*'Configuración'!$C$15)</f>
        <v/>
      </c>
      <c r="I11" s="54">
        <f>IF(OR(H11="",F11="",F11=0),"",H11/F11)</f>
        <v/>
      </c>
      <c r="J11" s="54">
        <f>IF(OR(H11="",G11="",G11=0),"",H11/G11)</f>
        <v/>
      </c>
      <c r="K11" s="55">
        <f>IF(E11="","",E11-D11)</f>
        <v/>
      </c>
      <c r="L11" s="56">
        <f>IF(E11="","",IF(OR(-K11&gt;='Configuración'!$C$22,I11&lt;'Configuración'!$C$24,J11&lt;'Configuración'!$C$24),"● "&amp;'Configuración'!$C$33,IF(OR(-K11&gt;='Configuración'!$C$21,I11&lt;'Configuración'!$C$23,J11&lt;'Configuración'!$C$23),"● "&amp;'Configuración'!$C$32,"● "&amp;'Configuración'!$C$31)))</f>
        <v/>
      </c>
    </row>
    <row r="12" ht="18" customHeight="1">
      <c r="B12" s="49" t="n">
        <v>7</v>
      </c>
      <c r="C12" s="50" t="n">
        <v>46304</v>
      </c>
      <c r="D12" s="51" t="n">
        <v>0.5600000000000001</v>
      </c>
      <c r="E12" s="51" t="n"/>
      <c r="F12" s="52" t="n">
        <v>1344000</v>
      </c>
      <c r="G12" s="52" t="n"/>
      <c r="H12" s="53">
        <f>IF(E12="","",E12*'Configuración'!$C$15)</f>
        <v/>
      </c>
      <c r="I12" s="54">
        <f>IF(OR(H12="",F12="",F12=0),"",H12/F12)</f>
        <v/>
      </c>
      <c r="J12" s="54">
        <f>IF(OR(H12="",G12="",G12=0),"",H12/G12)</f>
        <v/>
      </c>
      <c r="K12" s="55">
        <f>IF(E12="","",E12-D12)</f>
        <v/>
      </c>
      <c r="L12" s="56">
        <f>IF(E12="","",IF(OR(-K12&gt;='Configuración'!$C$22,I12&lt;'Configuración'!$C$24,J12&lt;'Configuración'!$C$24),"● "&amp;'Configuración'!$C$33,IF(OR(-K12&gt;='Configuración'!$C$21,I12&lt;'Configuración'!$C$23,J12&lt;'Configuración'!$C$23),"● "&amp;'Configuración'!$C$32,"● "&amp;'Configuración'!$C$31)))</f>
        <v/>
      </c>
    </row>
    <row r="13" ht="18" customHeight="1">
      <c r="B13" s="49" t="n">
        <v>8</v>
      </c>
      <c r="C13" s="50" t="n">
        <v>46311</v>
      </c>
      <c r="D13" s="51" t="n">
        <v>0.67</v>
      </c>
      <c r="E13" s="51" t="n"/>
      <c r="F13" s="52" t="n">
        <v>1608000</v>
      </c>
      <c r="G13" s="52" t="n"/>
      <c r="H13" s="53">
        <f>IF(E13="","",E13*'Configuración'!$C$15)</f>
        <v/>
      </c>
      <c r="I13" s="54">
        <f>IF(OR(H13="",F13="",F13=0),"",H13/F13)</f>
        <v/>
      </c>
      <c r="J13" s="54">
        <f>IF(OR(H13="",G13="",G13=0),"",H13/G13)</f>
        <v/>
      </c>
      <c r="K13" s="55">
        <f>IF(E13="","",E13-D13)</f>
        <v/>
      </c>
      <c r="L13" s="56">
        <f>IF(E13="","",IF(OR(-K13&gt;='Configuración'!$C$22,I13&lt;'Configuración'!$C$24,J13&lt;'Configuración'!$C$24),"● "&amp;'Configuración'!$C$33,IF(OR(-K13&gt;='Configuración'!$C$21,I13&lt;'Configuración'!$C$23,J13&lt;'Configuración'!$C$23),"● "&amp;'Configuración'!$C$32,"● "&amp;'Configuración'!$C$31)))</f>
        <v/>
      </c>
    </row>
    <row r="14" ht="18" customHeight="1">
      <c r="B14" s="49" t="n">
        <v>9</v>
      </c>
      <c r="C14" s="50" t="n">
        <v>46318</v>
      </c>
      <c r="D14" s="51" t="n">
        <v>0.77</v>
      </c>
      <c r="E14" s="51" t="n"/>
      <c r="F14" s="52" t="n">
        <v>1848000</v>
      </c>
      <c r="G14" s="52" t="n"/>
      <c r="H14" s="53">
        <f>IF(E14="","",E14*'Configuración'!$C$15)</f>
        <v/>
      </c>
      <c r="I14" s="54">
        <f>IF(OR(H14="",F14="",F14=0),"",H14/F14)</f>
        <v/>
      </c>
      <c r="J14" s="54">
        <f>IF(OR(H14="",G14="",G14=0),"",H14/G14)</f>
        <v/>
      </c>
      <c r="K14" s="55">
        <f>IF(E14="","",E14-D14)</f>
        <v/>
      </c>
      <c r="L14" s="56">
        <f>IF(E14="","",IF(OR(-K14&gt;='Configuración'!$C$22,I14&lt;'Configuración'!$C$24,J14&lt;'Configuración'!$C$24),"● "&amp;'Configuración'!$C$33,IF(OR(-K14&gt;='Configuración'!$C$21,I14&lt;'Configuración'!$C$23,J14&lt;'Configuración'!$C$23),"● "&amp;'Configuración'!$C$32,"● "&amp;'Configuración'!$C$31)))</f>
        <v/>
      </c>
    </row>
    <row r="15" ht="18" customHeight="1">
      <c r="B15" s="49" t="n">
        <v>10</v>
      </c>
      <c r="C15" s="50" t="n">
        <v>46325</v>
      </c>
      <c r="D15" s="51" t="n">
        <v>0.86</v>
      </c>
      <c r="E15" s="51" t="n"/>
      <c r="F15" s="52" t="n">
        <v>2064000</v>
      </c>
      <c r="G15" s="52" t="n"/>
      <c r="H15" s="53">
        <f>IF(E15="","",E15*'Configuración'!$C$15)</f>
        <v/>
      </c>
      <c r="I15" s="54">
        <f>IF(OR(H15="",F15="",F15=0),"",H15/F15)</f>
        <v/>
      </c>
      <c r="J15" s="54">
        <f>IF(OR(H15="",G15="",G15=0),"",H15/G15)</f>
        <v/>
      </c>
      <c r="K15" s="55">
        <f>IF(E15="","",E15-D15)</f>
        <v/>
      </c>
      <c r="L15" s="56">
        <f>IF(E15="","",IF(OR(-K15&gt;='Configuración'!$C$22,I15&lt;'Configuración'!$C$24,J15&lt;'Configuración'!$C$24),"● "&amp;'Configuración'!$C$33,IF(OR(-K15&gt;='Configuración'!$C$21,I15&lt;'Configuración'!$C$23,J15&lt;'Configuración'!$C$23),"● "&amp;'Configuración'!$C$32,"● "&amp;'Configuración'!$C$31)))</f>
        <v/>
      </c>
    </row>
    <row r="16" ht="18" customHeight="1">
      <c r="B16" s="49" t="n">
        <v>11</v>
      </c>
      <c r="C16" s="50" t="n">
        <v>46332</v>
      </c>
      <c r="D16" s="51" t="n">
        <v>0.9399999999999999</v>
      </c>
      <c r="E16" s="51" t="n"/>
      <c r="F16" s="52" t="n">
        <v>2256000</v>
      </c>
      <c r="G16" s="52" t="n"/>
      <c r="H16" s="53">
        <f>IF(E16="","",E16*'Configuración'!$C$15)</f>
        <v/>
      </c>
      <c r="I16" s="54">
        <f>IF(OR(H16="",F16="",F16=0),"",H16/F16)</f>
        <v/>
      </c>
      <c r="J16" s="54">
        <f>IF(OR(H16="",G16="",G16=0),"",H16/G16)</f>
        <v/>
      </c>
      <c r="K16" s="55">
        <f>IF(E16="","",E16-D16)</f>
        <v/>
      </c>
      <c r="L16" s="56">
        <f>IF(E16="","",IF(OR(-K16&gt;='Configuración'!$C$22,I16&lt;'Configuración'!$C$24,J16&lt;'Configuración'!$C$24),"● "&amp;'Configuración'!$C$33,IF(OR(-K16&gt;='Configuración'!$C$21,I16&lt;'Configuración'!$C$23,J16&lt;'Configuración'!$C$23),"● "&amp;'Configuración'!$C$32,"● "&amp;'Configuración'!$C$31)))</f>
        <v/>
      </c>
    </row>
    <row r="17" ht="18" customHeight="1">
      <c r="B17" s="49" t="n">
        <v>12</v>
      </c>
      <c r="C17" s="50" t="n">
        <v>46339</v>
      </c>
      <c r="D17" s="51" t="n">
        <v>1</v>
      </c>
      <c r="E17" s="51" t="n"/>
      <c r="F17" s="52" t="n">
        <v>2400000</v>
      </c>
      <c r="G17" s="52" t="n"/>
      <c r="H17" s="53">
        <f>IF(E17="","",E17*'Configuración'!$C$15)</f>
        <v/>
      </c>
      <c r="I17" s="54">
        <f>IF(OR(H17="",F17="",F17=0),"",H17/F17)</f>
        <v/>
      </c>
      <c r="J17" s="54">
        <f>IF(OR(H17="",G17="",G17=0),"",H17/G17)</f>
        <v/>
      </c>
      <c r="K17" s="55">
        <f>IF(E17="","",E17-D17)</f>
        <v/>
      </c>
      <c r="L17" s="56">
        <f>IF(E17="","",IF(OR(-K17&gt;='Configuración'!$C$22,I17&lt;'Configuración'!$C$24,J17&lt;'Configuración'!$C$24),"● "&amp;'Configuración'!$C$33,IF(OR(-K17&gt;='Configuración'!$C$21,I17&lt;'Configuración'!$C$23,J17&lt;'Configuración'!$C$23),"● "&amp;'Configuración'!$C$32,"● "&amp;'Configuración'!$C$31)))</f>
        <v/>
      </c>
    </row>
    <row r="18" ht="18" customHeight="1">
      <c r="B18" s="49" t="n"/>
      <c r="C18" s="50" t="n"/>
      <c r="D18" s="51" t="n"/>
      <c r="E18" s="51" t="n"/>
      <c r="F18" s="52" t="n"/>
      <c r="G18" s="52" t="n"/>
      <c r="H18" s="53">
        <f>IF(E18="","",E18*'Configuración'!$C$15)</f>
        <v/>
      </c>
      <c r="I18" s="54">
        <f>IF(OR(H18="",F18="",F18=0),"",H18/F18)</f>
        <v/>
      </c>
      <c r="J18" s="54">
        <f>IF(OR(H18="",G18="",G18=0),"",H18/G18)</f>
        <v/>
      </c>
      <c r="K18" s="55">
        <f>IF(E18="","",E18-D18)</f>
        <v/>
      </c>
      <c r="L18" s="56">
        <f>IF(E18="","",IF(OR(-K18&gt;='Configuración'!$C$22,I18&lt;'Configuración'!$C$24,J18&lt;'Configuración'!$C$24),"● "&amp;'Configuración'!$C$33,IF(OR(-K18&gt;='Configuración'!$C$21,I18&lt;'Configuración'!$C$23,J18&lt;'Configuración'!$C$23),"● "&amp;'Configuración'!$C$32,"● "&amp;'Configuración'!$C$31)))</f>
        <v/>
      </c>
    </row>
    <row r="19" ht="18" customHeight="1">
      <c r="B19" s="49" t="n"/>
      <c r="C19" s="50" t="n"/>
      <c r="D19" s="51" t="n"/>
      <c r="E19" s="51" t="n"/>
      <c r="F19" s="52" t="n"/>
      <c r="G19" s="52" t="n"/>
      <c r="H19" s="53">
        <f>IF(E19="","",E19*'Configuración'!$C$15)</f>
        <v/>
      </c>
      <c r="I19" s="54">
        <f>IF(OR(H19="",F19="",F19=0),"",H19/F19)</f>
        <v/>
      </c>
      <c r="J19" s="54">
        <f>IF(OR(H19="",G19="",G19=0),"",H19/G19)</f>
        <v/>
      </c>
      <c r="K19" s="55">
        <f>IF(E19="","",E19-D19)</f>
        <v/>
      </c>
      <c r="L19" s="56">
        <f>IF(E19="","",IF(OR(-K19&gt;='Configuración'!$C$22,I19&lt;'Configuración'!$C$24,J19&lt;'Configuración'!$C$24),"● "&amp;'Configuración'!$C$33,IF(OR(-K19&gt;='Configuración'!$C$21,I19&lt;'Configuración'!$C$23,J19&lt;'Configuración'!$C$23),"● "&amp;'Configuración'!$C$32,"● "&amp;'Configuración'!$C$31)))</f>
        <v/>
      </c>
    </row>
    <row r="20" ht="18" customHeight="1">
      <c r="B20" s="49" t="n"/>
      <c r="C20" s="50" t="n"/>
      <c r="D20" s="51" t="n"/>
      <c r="E20" s="51" t="n"/>
      <c r="F20" s="52" t="n"/>
      <c r="G20" s="52" t="n"/>
      <c r="H20" s="53">
        <f>IF(E20="","",E20*'Configuración'!$C$15)</f>
        <v/>
      </c>
      <c r="I20" s="54">
        <f>IF(OR(H20="",F20="",F20=0),"",H20/F20)</f>
        <v/>
      </c>
      <c r="J20" s="54">
        <f>IF(OR(H20="",G20="",G20=0),"",H20/G20)</f>
        <v/>
      </c>
      <c r="K20" s="55">
        <f>IF(E20="","",E20-D20)</f>
        <v/>
      </c>
      <c r="L20" s="56">
        <f>IF(E20="","",IF(OR(-K20&gt;='Configuración'!$C$22,I20&lt;'Configuración'!$C$24,J20&lt;'Configuración'!$C$24),"● "&amp;'Configuración'!$C$33,IF(OR(-K20&gt;='Configuración'!$C$21,I20&lt;'Configuración'!$C$23,J20&lt;'Configuración'!$C$23),"● "&amp;'Configuración'!$C$32,"● "&amp;'Configuración'!$C$31)))</f>
        <v/>
      </c>
    </row>
    <row r="21" ht="18" customHeight="1">
      <c r="B21" s="49" t="n"/>
      <c r="C21" s="50" t="n"/>
      <c r="D21" s="51" t="n"/>
      <c r="E21" s="51" t="n"/>
      <c r="F21" s="52" t="n"/>
      <c r="G21" s="52" t="n"/>
      <c r="H21" s="53">
        <f>IF(E21="","",E21*'Configuración'!$C$15)</f>
        <v/>
      </c>
      <c r="I21" s="54">
        <f>IF(OR(H21="",F21="",F21=0),"",H21/F21)</f>
        <v/>
      </c>
      <c r="J21" s="54">
        <f>IF(OR(H21="",G21="",G21=0),"",H21/G21)</f>
        <v/>
      </c>
      <c r="K21" s="55">
        <f>IF(E21="","",E21-D21)</f>
        <v/>
      </c>
      <c r="L21" s="56">
        <f>IF(E21="","",IF(OR(-K21&gt;='Configuración'!$C$22,I21&lt;'Configuración'!$C$24,J21&lt;'Configuración'!$C$24),"● "&amp;'Configuración'!$C$33,IF(OR(-K21&gt;='Configuración'!$C$21,I21&lt;'Configuración'!$C$23,J21&lt;'Configuración'!$C$23),"● "&amp;'Configuración'!$C$32,"● "&amp;'Configuración'!$C$31)))</f>
        <v/>
      </c>
    </row>
    <row r="22" ht="18" customHeight="1">
      <c r="B22" s="49" t="n"/>
      <c r="C22" s="50" t="n"/>
      <c r="D22" s="51" t="n"/>
      <c r="E22" s="51" t="n"/>
      <c r="F22" s="52" t="n"/>
      <c r="G22" s="52" t="n"/>
      <c r="H22" s="53">
        <f>IF(E22="","",E22*'Configuración'!$C$15)</f>
        <v/>
      </c>
      <c r="I22" s="54">
        <f>IF(OR(H22="",F22="",F22=0),"",H22/F22)</f>
        <v/>
      </c>
      <c r="J22" s="54">
        <f>IF(OR(H22="",G22="",G22=0),"",H22/G22)</f>
        <v/>
      </c>
      <c r="K22" s="55">
        <f>IF(E22="","",E22-D22)</f>
        <v/>
      </c>
      <c r="L22" s="56">
        <f>IF(E22="","",IF(OR(-K22&gt;='Configuración'!$C$22,I22&lt;'Configuración'!$C$24,J22&lt;'Configuración'!$C$24),"● "&amp;'Configuración'!$C$33,IF(OR(-K22&gt;='Configuración'!$C$21,I22&lt;'Configuración'!$C$23,J22&lt;'Configuración'!$C$23),"● "&amp;'Configuración'!$C$32,"● "&amp;'Configuración'!$C$31)))</f>
        <v/>
      </c>
    </row>
    <row r="23" ht="18" customHeight="1">
      <c r="B23" s="49" t="n"/>
      <c r="C23" s="50" t="n"/>
      <c r="D23" s="51" t="n"/>
      <c r="E23" s="51" t="n"/>
      <c r="F23" s="52" t="n"/>
      <c r="G23" s="52" t="n"/>
      <c r="H23" s="53">
        <f>IF(E23="","",E23*'Configuración'!$C$15)</f>
        <v/>
      </c>
      <c r="I23" s="54">
        <f>IF(OR(H23="",F23="",F23=0),"",H23/F23)</f>
        <v/>
      </c>
      <c r="J23" s="54">
        <f>IF(OR(H23="",G23="",G23=0),"",H23/G23)</f>
        <v/>
      </c>
      <c r="K23" s="55">
        <f>IF(E23="","",E23-D23)</f>
        <v/>
      </c>
      <c r="L23" s="56">
        <f>IF(E23="","",IF(OR(-K23&gt;='Configuración'!$C$22,I23&lt;'Configuración'!$C$24,J23&lt;'Configuración'!$C$24),"● "&amp;'Configuración'!$C$33,IF(OR(-K23&gt;='Configuración'!$C$21,I23&lt;'Configuración'!$C$23,J23&lt;'Configuración'!$C$23),"● "&amp;'Configuración'!$C$32,"● "&amp;'Configuración'!$C$31)))</f>
        <v/>
      </c>
    </row>
    <row r="24" ht="18" customHeight="1">
      <c r="B24" s="49" t="n"/>
      <c r="C24" s="50" t="n"/>
      <c r="D24" s="51" t="n"/>
      <c r="E24" s="51" t="n"/>
      <c r="F24" s="52" t="n"/>
      <c r="G24" s="52" t="n"/>
      <c r="H24" s="53">
        <f>IF(E24="","",E24*'Configuración'!$C$15)</f>
        <v/>
      </c>
      <c r="I24" s="54">
        <f>IF(OR(H24="",F24="",F24=0),"",H24/F24)</f>
        <v/>
      </c>
      <c r="J24" s="54">
        <f>IF(OR(H24="",G24="",G24=0),"",H24/G24)</f>
        <v/>
      </c>
      <c r="K24" s="55">
        <f>IF(E24="","",E24-D24)</f>
        <v/>
      </c>
      <c r="L24" s="56">
        <f>IF(E24="","",IF(OR(-K24&gt;='Configuración'!$C$22,I24&lt;'Configuración'!$C$24,J24&lt;'Configuración'!$C$24),"● "&amp;'Configuración'!$C$33,IF(OR(-K24&gt;='Configuración'!$C$21,I24&lt;'Configuración'!$C$23,J24&lt;'Configuración'!$C$23),"● "&amp;'Configuración'!$C$32,"● "&amp;'Configuración'!$C$31)))</f>
        <v/>
      </c>
    </row>
    <row r="25" ht="18" customHeight="1">
      <c r="B25" s="49" t="n"/>
      <c r="C25" s="50" t="n"/>
      <c r="D25" s="51" t="n"/>
      <c r="E25" s="51" t="n"/>
      <c r="F25" s="52" t="n"/>
      <c r="G25" s="52" t="n"/>
      <c r="H25" s="53">
        <f>IF(E25="","",E25*'Configuración'!$C$15)</f>
        <v/>
      </c>
      <c r="I25" s="54">
        <f>IF(OR(H25="",F25="",F25=0),"",H25/F25)</f>
        <v/>
      </c>
      <c r="J25" s="54">
        <f>IF(OR(H25="",G25="",G25=0),"",H25/G25)</f>
        <v/>
      </c>
      <c r="K25" s="55">
        <f>IF(E25="","",E25-D25)</f>
        <v/>
      </c>
      <c r="L25" s="56">
        <f>IF(E25="","",IF(OR(-K25&gt;='Configuración'!$C$22,I25&lt;'Configuración'!$C$24,J25&lt;'Configuración'!$C$24),"● "&amp;'Configuración'!$C$33,IF(OR(-K25&gt;='Configuración'!$C$21,I25&lt;'Configuración'!$C$23,J25&lt;'Configuración'!$C$23),"● "&amp;'Configuración'!$C$32,"● "&amp;'Configuración'!$C$31)))</f>
        <v/>
      </c>
    </row>
    <row r="26" ht="18" customHeight="1">
      <c r="B26" s="49" t="n"/>
      <c r="C26" s="50" t="n"/>
      <c r="D26" s="51" t="n"/>
      <c r="E26" s="51" t="n"/>
      <c r="F26" s="52" t="n"/>
      <c r="G26" s="52" t="n"/>
      <c r="H26" s="53">
        <f>IF(E26="","",E26*'Configuración'!$C$15)</f>
        <v/>
      </c>
      <c r="I26" s="54">
        <f>IF(OR(H26="",F26="",F26=0),"",H26/F26)</f>
        <v/>
      </c>
      <c r="J26" s="54">
        <f>IF(OR(H26="",G26="",G26=0),"",H26/G26)</f>
        <v/>
      </c>
      <c r="K26" s="55">
        <f>IF(E26="","",E26-D26)</f>
        <v/>
      </c>
      <c r="L26" s="56">
        <f>IF(E26="","",IF(OR(-K26&gt;='Configuración'!$C$22,I26&lt;'Configuración'!$C$24,J26&lt;'Configuración'!$C$24),"● "&amp;'Configuración'!$C$33,IF(OR(-K26&gt;='Configuración'!$C$21,I26&lt;'Configuración'!$C$23,J26&lt;'Configuración'!$C$23),"● "&amp;'Configuración'!$C$32,"● "&amp;'Configuración'!$C$31)))</f>
        <v/>
      </c>
    </row>
    <row r="27" ht="18" customHeight="1">
      <c r="B27" s="49" t="n"/>
      <c r="C27" s="50" t="n"/>
      <c r="D27" s="51" t="n"/>
      <c r="E27" s="51" t="n"/>
      <c r="F27" s="52" t="n"/>
      <c r="G27" s="52" t="n"/>
      <c r="H27" s="53">
        <f>IF(E27="","",E27*'Configuración'!$C$15)</f>
        <v/>
      </c>
      <c r="I27" s="54">
        <f>IF(OR(H27="",F27="",F27=0),"",H27/F27)</f>
        <v/>
      </c>
      <c r="J27" s="54">
        <f>IF(OR(H27="",G27="",G27=0),"",H27/G27)</f>
        <v/>
      </c>
      <c r="K27" s="55">
        <f>IF(E27="","",E27-D27)</f>
        <v/>
      </c>
      <c r="L27" s="56">
        <f>IF(E27="","",IF(OR(-K27&gt;='Configuración'!$C$22,I27&lt;'Configuración'!$C$24,J27&lt;'Configuración'!$C$24),"● "&amp;'Configuración'!$C$33,IF(OR(-K27&gt;='Configuración'!$C$21,I27&lt;'Configuración'!$C$23,J27&lt;'Configuración'!$C$23),"● "&amp;'Configuración'!$C$32,"● "&amp;'Configuración'!$C$31)))</f>
        <v/>
      </c>
    </row>
    <row r="28" ht="18" customHeight="1">
      <c r="B28" s="49" t="n"/>
      <c r="C28" s="50" t="n"/>
      <c r="D28" s="51" t="n"/>
      <c r="E28" s="51" t="n"/>
      <c r="F28" s="52" t="n"/>
      <c r="G28" s="52" t="n"/>
      <c r="H28" s="53">
        <f>IF(E28="","",E28*'Configuración'!$C$15)</f>
        <v/>
      </c>
      <c r="I28" s="54">
        <f>IF(OR(H28="",F28="",F28=0),"",H28/F28)</f>
        <v/>
      </c>
      <c r="J28" s="54">
        <f>IF(OR(H28="",G28="",G28=0),"",H28/G28)</f>
        <v/>
      </c>
      <c r="K28" s="55">
        <f>IF(E28="","",E28-D28)</f>
        <v/>
      </c>
      <c r="L28" s="56">
        <f>IF(E28="","",IF(OR(-K28&gt;='Configuración'!$C$22,I28&lt;'Configuración'!$C$24,J28&lt;'Configuración'!$C$24),"● "&amp;'Configuración'!$C$33,IF(OR(-K28&gt;='Configuración'!$C$21,I28&lt;'Configuración'!$C$23,J28&lt;'Configuración'!$C$23),"● "&amp;'Configuración'!$C$32,"● "&amp;'Configuración'!$C$31)))</f>
        <v/>
      </c>
    </row>
    <row r="29" ht="18" customHeight="1">
      <c r="B29" s="49" t="n"/>
      <c r="C29" s="50" t="n"/>
      <c r="D29" s="51" t="n"/>
      <c r="E29" s="51" t="n"/>
      <c r="F29" s="52" t="n"/>
      <c r="G29" s="52" t="n"/>
      <c r="H29" s="53">
        <f>IF(E29="","",E29*'Configuración'!$C$15)</f>
        <v/>
      </c>
      <c r="I29" s="54">
        <f>IF(OR(H29="",F29="",F29=0),"",H29/F29)</f>
        <v/>
      </c>
      <c r="J29" s="54">
        <f>IF(OR(H29="",G29="",G29=0),"",H29/G29)</f>
        <v/>
      </c>
      <c r="K29" s="55">
        <f>IF(E29="","",E29-D29)</f>
        <v/>
      </c>
      <c r="L29" s="56">
        <f>IF(E29="","",IF(OR(-K29&gt;='Configuración'!$C$22,I29&lt;'Configuración'!$C$24,J29&lt;'Configuración'!$C$24),"● "&amp;'Configuración'!$C$33,IF(OR(-K29&gt;='Configuración'!$C$21,I29&lt;'Configuración'!$C$23,J29&lt;'Configuración'!$C$23),"● "&amp;'Configuración'!$C$32,"● "&amp;'Configuración'!$C$31)))</f>
        <v/>
      </c>
    </row>
    <row r="31">
      <c r="B31" s="57" t="inlineStr">
        <is>
          <t>SPI = EV / PV (cronograma)   ·   CPI = EV / AC (costo)   ·   1.00 = según plan; menor a 1.00 = atraso o sobrecosto.</t>
        </is>
      </c>
    </row>
    <row r="32">
      <c r="B32" s="30" t="inlineStr">
        <is>
          <t>© Carlos Alberto Ruiz Brito · 05/10/2026 · Delivery con Charly Brito · carlosruizbrito.com · Licencia CC BY 4.0 (uso y adaptación citando al autor)</t>
        </is>
      </c>
    </row>
  </sheetData>
  <conditionalFormatting sqref="K6:K29">
    <cfRule type="expression" priority="1" dxfId="2" stopIfTrue="1">
      <formula>AND(ISNUMBER(K6),-K6&gt;='Configuración'!$C$22)</formula>
    </cfRule>
    <cfRule type="expression" priority="2" dxfId="1" stopIfTrue="1">
      <formula>AND(ISNUMBER(K6),-K6&gt;='Configuración'!$C$21)</formula>
    </cfRule>
  </conditionalFormatting>
  <conditionalFormatting sqref="I6:I29">
    <cfRule type="cellIs" priority="3" operator="lessThan" dxfId="11">
      <formula>'Configuración'!$C$24</formula>
    </cfRule>
    <cfRule type="cellIs" priority="4" operator="between" dxfId="12">
      <formula>'Configuración'!$C$24</formula>
      <formula>'Configuración'!$C$23</formula>
    </cfRule>
  </conditionalFormatting>
  <conditionalFormatting sqref="J6:J29">
    <cfRule type="cellIs" priority="5" operator="lessThan" dxfId="11">
      <formula>'Configuración'!$C$24</formula>
    </cfRule>
    <cfRule type="cellIs" priority="6" operator="between" dxfId="12">
      <formula>'Configuración'!$C$24</formula>
      <formula>'Configuración'!$C$23</formula>
    </cfRule>
  </conditionalFormatting>
  <conditionalFormatting sqref="L6:L29">
    <cfRule type="expression" priority="7" dxfId="0">
      <formula>ISNUMBER(SEARCH('Configuración'!$C$31,L6))</formula>
    </cfRule>
    <cfRule type="expression" priority="8" dxfId="1">
      <formula>ISNUMBER(SEARCH('Configuración'!$C$32,L6))</formula>
    </cfRule>
    <cfRule type="expression" priority="9" dxfId="2">
      <formula>ISNUMBER(SEARCH('Configuración'!$C$33,L6))</formula>
    </cfRule>
  </conditionalFormatting>
  <pageMargins left="0.4" right="0.4" top="0.5" bottom="0.6" header="0.5" footer="0.5"/>
  <pageSetup orientation="landscape" paperSize="1" fitToHeight="0" fitToWidth="1"/>
  <headerFooter>
    <oddHeader/>
    <oddFooter>&amp;C&amp;"Arial,Italic"&amp;8© Carlos Alberto Ruiz Brito · 05/10/2026 · Delivery con Charly Brito · carlosruizbrito.com · CC BY 4.0</oddFooter>
    <evenHeader/>
    <evenFooter>&amp;C&amp;"Arial,Italic"&amp;8© Carlos Alberto Ruiz Brito · 05/10/2026 · Delivery con Charly Brito · carlosruizbrito.com · CC BY 4.0</evenFooter>
    <firstHeader/>
    <firstFooter/>
  </headerFooter>
</worksheet>
</file>

<file path=xl/worksheets/sheet5.xml><?xml version="1.0" encoding="utf-8"?>
<worksheet xmlns="http://schemas.openxmlformats.org/spreadsheetml/2006/main">
  <sheetPr>
    <outlinePr summaryBelow="1" summaryRight="1"/>
    <pageSetUpPr fitToPage="1"/>
  </sheetPr>
  <dimension ref="A1:L37"/>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2" customWidth="1" min="1" max="1"/>
    <col width="8" customWidth="1" min="2" max="2"/>
    <col width="38" customWidth="1" min="3" max="3"/>
    <col width="18" customWidth="1" min="4" max="4"/>
    <col width="13" customWidth="1" min="5" max="5"/>
    <col width="13" customWidth="1" min="6" max="6"/>
    <col width="14" customWidth="1" min="7" max="7"/>
    <col width="13" customWidth="1" min="8" max="8"/>
    <col width="11" customWidth="1" min="9" max="9"/>
    <col width="12" customWidth="1" min="10" max="10"/>
    <col width="34" customWidth="1" min="11" max="11"/>
    <col width="2" customWidth="1" min="12" max="12"/>
  </cols>
  <sheetData>
    <row r="1" ht="30" customHeight="1">
      <c r="A1" s="1" t="n"/>
      <c r="B1" s="31" t="inlineStr">
        <is>
          <t>Entregables y aceptación</t>
        </is>
      </c>
      <c r="C1" s="1" t="n"/>
      <c r="D1" s="1" t="n"/>
      <c r="E1" s="1" t="n"/>
      <c r="F1" s="1" t="n"/>
      <c r="G1" s="1" t="n"/>
      <c r="H1" s="1" t="n"/>
      <c r="I1" s="1" t="n"/>
      <c r="J1" s="1" t="n"/>
      <c r="K1" s="1" t="n"/>
      <c r="L1" s="1" t="n"/>
    </row>
    <row r="2" ht="18" customHeight="1">
      <c r="A2" s="1" t="n"/>
      <c r="B2" s="32" t="inlineStr">
        <is>
          <t>Entregado no es aceptado: cada entregable con estado, fecha de envío y días en revisión.</t>
        </is>
      </c>
      <c r="C2" s="1" t="n"/>
      <c r="D2" s="1" t="n"/>
      <c r="E2" s="1" t="n"/>
      <c r="F2" s="1" t="n"/>
      <c r="G2" s="1" t="n"/>
      <c r="H2" s="1" t="n"/>
      <c r="I2" s="1" t="n"/>
      <c r="J2" s="1" t="n"/>
      <c r="K2" s="1" t="n"/>
      <c r="L2" s="1" t="n"/>
    </row>
    <row r="3" ht="10" customHeight="1">
      <c r="A3" s="1" t="n"/>
      <c r="B3" s="1" t="n"/>
      <c r="C3" s="1" t="n"/>
      <c r="D3" s="1" t="n"/>
      <c r="E3" s="1" t="n"/>
      <c r="F3" s="1" t="n"/>
      <c r="G3" s="1" t="n"/>
      <c r="H3" s="1" t="n"/>
      <c r="I3" s="1" t="n"/>
      <c r="J3" s="1" t="n"/>
      <c r="K3" s="1" t="n"/>
      <c r="L3" s="1" t="n"/>
    </row>
    <row r="5" ht="36" customHeight="1">
      <c r="B5" s="35" t="inlineStr">
        <is>
          <t>ID</t>
        </is>
      </c>
      <c r="C5" s="35" t="inlineStr">
        <is>
          <t>Entregable</t>
        </is>
      </c>
      <c r="D5" s="35" t="inlineStr">
        <is>
          <t>Responsable</t>
        </is>
      </c>
      <c r="E5" s="35" t="inlineStr">
        <is>
          <t>Fecha compromiso</t>
        </is>
      </c>
      <c r="F5" s="35" t="inlineStr">
        <is>
          <t>Enviado a revisión</t>
        </is>
      </c>
      <c r="G5" s="35" t="inlineStr">
        <is>
          <t>Estado</t>
        </is>
      </c>
      <c r="H5" s="35" t="inlineStr">
        <is>
          <t>Fecha aceptación</t>
        </is>
      </c>
      <c r="I5" s="35" t="inlineStr">
        <is>
          <t>Días en revisión</t>
        </is>
      </c>
      <c r="J5" s="35" t="inlineStr">
        <is>
          <t>Atraso vs. compromiso</t>
        </is>
      </c>
      <c r="K5" s="35" t="inlineStr">
        <is>
          <t>Comentario</t>
        </is>
      </c>
    </row>
    <row r="6" ht="18" customHeight="1">
      <c r="B6" s="58" t="inlineStr">
        <is>
          <t>E-01</t>
        </is>
      </c>
      <c r="C6" s="58" t="inlineStr">
        <is>
          <t>Diseño de solución</t>
        </is>
      </c>
      <c r="D6" s="58" t="inlineStr">
        <is>
          <t>Arquitecto</t>
        </is>
      </c>
      <c r="E6" s="50" t="n">
        <v>46269</v>
      </c>
      <c r="F6" s="50" t="n">
        <v>46268</v>
      </c>
      <c r="G6" s="59" t="inlineStr">
        <is>
          <t>Aceptado</t>
        </is>
      </c>
      <c r="H6" s="50" t="n">
        <v>46273</v>
      </c>
      <c r="I6" s="60">
        <f>IF(OR(F6="",G6='Configuración'!$C$39,G6='Configuración'!$C$36),"",INDEX('Seguimiento semanal'!$C$6:$C$29,COUNT('Seguimiento semanal'!$E$6:$E$29))-F6)</f>
        <v/>
      </c>
      <c r="J6" s="61">
        <f>IF(OR(E6="",F6=""),"",MAX(0,F6-E6))</f>
        <v/>
      </c>
      <c r="K6" s="58" t="inlineStr">
        <is>
          <t>Acta firmada</t>
        </is>
      </c>
    </row>
    <row r="7" ht="18" customHeight="1">
      <c r="B7" s="58" t="inlineStr">
        <is>
          <t>E-02</t>
        </is>
      </c>
      <c r="C7" s="58" t="inlineStr">
        <is>
          <t>Plan de trabajo y línea base</t>
        </is>
      </c>
      <c r="D7" s="58" t="inlineStr">
        <is>
          <t>PM</t>
        </is>
      </c>
      <c r="E7" s="50" t="n">
        <v>46269</v>
      </c>
      <c r="F7" s="50" t="n">
        <v>46269</v>
      </c>
      <c r="G7" s="59" t="inlineStr">
        <is>
          <t>Aceptado</t>
        </is>
      </c>
      <c r="H7" s="50" t="n">
        <v>46272</v>
      </c>
      <c r="I7" s="60">
        <f>IF(OR(F7="",G7='Configuración'!$C$39,G7='Configuración'!$C$36),"",INDEX('Seguimiento semanal'!$C$6:$C$29,COUNT('Seguimiento semanal'!$E$6:$E$29))-F7)</f>
        <v/>
      </c>
      <c r="J7" s="61">
        <f>IF(OR(E7="",F7=""),"",MAX(0,F7-E7))</f>
        <v/>
      </c>
      <c r="K7" s="58" t="inlineStr"/>
    </row>
    <row r="8" ht="18" customHeight="1">
      <c r="B8" s="58" t="inlineStr">
        <is>
          <t>E-03</t>
        </is>
      </c>
      <c r="C8" s="58" t="inlineStr">
        <is>
          <t>Inventario y dependencias</t>
        </is>
      </c>
      <c r="D8" s="58" t="inlineStr">
        <is>
          <t>Líder técnico</t>
        </is>
      </c>
      <c r="E8" s="50" t="n">
        <v>46276</v>
      </c>
      <c r="F8" s="50" t="n">
        <v>46279</v>
      </c>
      <c r="G8" s="59" t="inlineStr">
        <is>
          <t>Aceptado</t>
        </is>
      </c>
      <c r="H8" s="50" t="n">
        <v>46283</v>
      </c>
      <c r="I8" s="60">
        <f>IF(OR(F8="",G8='Configuración'!$C$39,G8='Configuración'!$C$36),"",INDEX('Seguimiento semanal'!$C$6:$C$29,COUNT('Seguimiento semanal'!$E$6:$E$29))-F8)</f>
        <v/>
      </c>
      <c r="J8" s="61">
        <f>IF(OR(E8="",F8=""),"",MAX(0,F8-E8))</f>
        <v/>
      </c>
      <c r="K8" s="58" t="inlineStr">
        <is>
          <t>Entregado con 3 días de atraso</t>
        </is>
      </c>
    </row>
    <row r="9" ht="18" customHeight="1">
      <c r="B9" s="58" t="inlineStr">
        <is>
          <t>E-04</t>
        </is>
      </c>
      <c r="C9" s="58" t="inlineStr">
        <is>
          <t>Plan de migración</t>
        </is>
      </c>
      <c r="D9" s="58" t="inlineStr">
        <is>
          <t>Líder técnico</t>
        </is>
      </c>
      <c r="E9" s="50" t="n">
        <v>46290</v>
      </c>
      <c r="F9" s="50" t="n">
        <v>46290</v>
      </c>
      <c r="G9" s="59" t="inlineStr">
        <is>
          <t>Observado</t>
        </is>
      </c>
      <c r="H9" s="50" t="n"/>
      <c r="I9" s="60">
        <f>IF(OR(F9="",G9='Configuración'!$C$39,G9='Configuración'!$C$36),"",INDEX('Seguimiento semanal'!$C$6:$C$29,COUNT('Seguimiento semanal'!$E$6:$E$29))-F9)</f>
        <v/>
      </c>
      <c r="J9" s="61">
        <f>IF(OR(E9="",F9=""),"",MAX(0,F9-E9))</f>
        <v/>
      </c>
      <c r="K9" s="58" t="inlineStr">
        <is>
          <t>2 observaciones del cliente</t>
        </is>
      </c>
    </row>
    <row r="10" ht="18" customHeight="1">
      <c r="B10" s="58" t="inlineStr">
        <is>
          <t>E-05</t>
        </is>
      </c>
      <c r="C10" s="58" t="inlineStr">
        <is>
          <t>Ambiente de pruebas</t>
        </is>
      </c>
      <c r="D10" s="58" t="inlineStr">
        <is>
          <t>Infraestructura</t>
        </is>
      </c>
      <c r="E10" s="50" t="n">
        <v>46276</v>
      </c>
      <c r="F10" s="50" t="n">
        <v>46276</v>
      </c>
      <c r="G10" s="59" t="inlineStr">
        <is>
          <t>Pendiente</t>
        </is>
      </c>
      <c r="H10" s="50" t="n"/>
      <c r="I10" s="60">
        <f>IF(OR(F10="",G10='Configuración'!$C$39,G10='Configuración'!$C$36),"",INDEX('Seguimiento semanal'!$C$6:$C$29,COUNT('Seguimiento semanal'!$E$6:$E$29))-F10)</f>
        <v/>
      </c>
      <c r="J10" s="61">
        <f>IF(OR(E10="",F10=""),"",MAX(0,F10-E10))</f>
        <v/>
      </c>
      <c r="K10" s="58" t="inlineStr">
        <is>
          <t>Sin respuesta del usuario clave</t>
        </is>
      </c>
    </row>
    <row r="11" ht="18" customHeight="1">
      <c r="B11" s="58" t="inlineStr">
        <is>
          <t>E-06</t>
        </is>
      </c>
      <c r="C11" s="58" t="inlineStr">
        <is>
          <t>Pruebas de recuperación (DR)</t>
        </is>
      </c>
      <c r="D11" s="58" t="inlineStr">
        <is>
          <t>Infraestructura</t>
        </is>
      </c>
      <c r="E11" s="50" t="n">
        <v>46311</v>
      </c>
      <c r="F11" s="50" t="n"/>
      <c r="G11" s="59" t="inlineStr">
        <is>
          <t>Por entregar</t>
        </is>
      </c>
      <c r="H11" s="50" t="n"/>
      <c r="I11" s="60">
        <f>IF(OR(F11="",G11='Configuración'!$C$39,G11='Configuración'!$C$36),"",INDEX('Seguimiento semanal'!$C$6:$C$29,COUNT('Seguimiento semanal'!$E$6:$E$29))-F11)</f>
        <v/>
      </c>
      <c r="J11" s="61">
        <f>IF(OR(E11="",F11=""),"",MAX(0,F11-E11))</f>
        <v/>
      </c>
      <c r="K11" s="58" t="inlineStr"/>
    </row>
    <row r="12" ht="18" customHeight="1">
      <c r="B12" s="58" t="inlineStr">
        <is>
          <t>E-07</t>
        </is>
      </c>
      <c r="C12" s="58" t="inlineStr">
        <is>
          <t>Plan de reversa</t>
        </is>
      </c>
      <c r="D12" s="58" t="inlineStr">
        <is>
          <t>Líder técnico</t>
        </is>
      </c>
      <c r="E12" s="50" t="n">
        <v>46318</v>
      </c>
      <c r="F12" s="50" t="n"/>
      <c r="G12" s="59" t="inlineStr">
        <is>
          <t>Por entregar</t>
        </is>
      </c>
      <c r="H12" s="50" t="n"/>
      <c r="I12" s="60">
        <f>IF(OR(F12="",G12='Configuración'!$C$39,G12='Configuración'!$C$36),"",INDEX('Seguimiento semanal'!$C$6:$C$29,COUNT('Seguimiento semanal'!$E$6:$E$29))-F12)</f>
        <v/>
      </c>
      <c r="J12" s="61">
        <f>IF(OR(E12="",F12=""),"",MAX(0,F12-E12))</f>
        <v/>
      </c>
      <c r="K12" s="58" t="inlineStr"/>
    </row>
    <row r="13" ht="18" customHeight="1">
      <c r="B13" s="58" t="inlineStr">
        <is>
          <t>E-08</t>
        </is>
      </c>
      <c r="C13" s="58" t="inlineStr">
        <is>
          <t>Acta de cierre</t>
        </is>
      </c>
      <c r="D13" s="58" t="inlineStr">
        <is>
          <t>PM</t>
        </is>
      </c>
      <c r="E13" s="50" t="n">
        <v>46339</v>
      </c>
      <c r="F13" s="50" t="n"/>
      <c r="G13" s="59" t="inlineStr">
        <is>
          <t>Por entregar</t>
        </is>
      </c>
      <c r="H13" s="50" t="n"/>
      <c r="I13" s="60">
        <f>IF(OR(F13="",G13='Configuración'!$C$39,G13='Configuración'!$C$36),"",INDEX('Seguimiento semanal'!$C$6:$C$29,COUNT('Seguimiento semanal'!$E$6:$E$29))-F13)</f>
        <v/>
      </c>
      <c r="J13" s="61">
        <f>IF(OR(E13="",F13=""),"",MAX(0,F13-E13))</f>
        <v/>
      </c>
      <c r="K13" s="58" t="inlineStr"/>
    </row>
    <row r="14" ht="18" customHeight="1">
      <c r="B14" s="58" t="n"/>
      <c r="C14" s="58" t="n"/>
      <c r="D14" s="58" t="n"/>
      <c r="E14" s="50" t="n"/>
      <c r="F14" s="50" t="n"/>
      <c r="G14" s="59" t="n"/>
      <c r="H14" s="50" t="n"/>
      <c r="I14" s="60">
        <f>IF(OR(F14="",G14='Configuración'!$C$39,G14='Configuración'!$C$36),"",INDEX('Seguimiento semanal'!$C$6:$C$29,COUNT('Seguimiento semanal'!$E$6:$E$29))-F14)</f>
        <v/>
      </c>
      <c r="J14" s="61">
        <f>IF(OR(E14="",F14=""),"",MAX(0,F14-E14))</f>
        <v/>
      </c>
      <c r="K14" s="58" t="n"/>
    </row>
    <row r="15" ht="18" customHeight="1">
      <c r="B15" s="58" t="n"/>
      <c r="C15" s="58" t="n"/>
      <c r="D15" s="58" t="n"/>
      <c r="E15" s="50" t="n"/>
      <c r="F15" s="50" t="n"/>
      <c r="G15" s="59" t="n"/>
      <c r="H15" s="50" t="n"/>
      <c r="I15" s="60">
        <f>IF(OR(F15="",G15='Configuración'!$C$39,G15='Configuración'!$C$36),"",INDEX('Seguimiento semanal'!$C$6:$C$29,COUNT('Seguimiento semanal'!$E$6:$E$29))-F15)</f>
        <v/>
      </c>
      <c r="J15" s="61">
        <f>IF(OR(E15="",F15=""),"",MAX(0,F15-E15))</f>
        <v/>
      </c>
      <c r="K15" s="58" t="n"/>
    </row>
    <row r="16" ht="18" customHeight="1">
      <c r="B16" s="58" t="n"/>
      <c r="C16" s="58" t="n"/>
      <c r="D16" s="58" t="n"/>
      <c r="E16" s="50" t="n"/>
      <c r="F16" s="50" t="n"/>
      <c r="G16" s="59" t="n"/>
      <c r="H16" s="50" t="n"/>
      <c r="I16" s="60">
        <f>IF(OR(F16="",G16='Configuración'!$C$39,G16='Configuración'!$C$36),"",INDEX('Seguimiento semanal'!$C$6:$C$29,COUNT('Seguimiento semanal'!$E$6:$E$29))-F16)</f>
        <v/>
      </c>
      <c r="J16" s="61">
        <f>IF(OR(E16="",F16=""),"",MAX(0,F16-E16))</f>
        <v/>
      </c>
      <c r="K16" s="58" t="n"/>
    </row>
    <row r="17" ht="18" customHeight="1">
      <c r="B17" s="58" t="n"/>
      <c r="C17" s="58" t="n"/>
      <c r="D17" s="58" t="n"/>
      <c r="E17" s="50" t="n"/>
      <c r="F17" s="50" t="n"/>
      <c r="G17" s="59" t="n"/>
      <c r="H17" s="50" t="n"/>
      <c r="I17" s="60">
        <f>IF(OR(F17="",G17='Configuración'!$C$39,G17='Configuración'!$C$36),"",INDEX('Seguimiento semanal'!$C$6:$C$29,COUNT('Seguimiento semanal'!$E$6:$E$29))-F17)</f>
        <v/>
      </c>
      <c r="J17" s="61">
        <f>IF(OR(E17="",F17=""),"",MAX(0,F17-E17))</f>
        <v/>
      </c>
      <c r="K17" s="58" t="n"/>
    </row>
    <row r="18" ht="18" customHeight="1">
      <c r="B18" s="58" t="n"/>
      <c r="C18" s="58" t="n"/>
      <c r="D18" s="58" t="n"/>
      <c r="E18" s="50" t="n"/>
      <c r="F18" s="50" t="n"/>
      <c r="G18" s="59" t="n"/>
      <c r="H18" s="50" t="n"/>
      <c r="I18" s="60">
        <f>IF(OR(F18="",G18='Configuración'!$C$39,G18='Configuración'!$C$36),"",INDEX('Seguimiento semanal'!$C$6:$C$29,COUNT('Seguimiento semanal'!$E$6:$E$29))-F18)</f>
        <v/>
      </c>
      <c r="J18" s="61">
        <f>IF(OR(E18="",F18=""),"",MAX(0,F18-E18))</f>
        <v/>
      </c>
      <c r="K18" s="58" t="n"/>
    </row>
    <row r="19" ht="18" customHeight="1">
      <c r="B19" s="58" t="n"/>
      <c r="C19" s="58" t="n"/>
      <c r="D19" s="58" t="n"/>
      <c r="E19" s="50" t="n"/>
      <c r="F19" s="50" t="n"/>
      <c r="G19" s="59" t="n"/>
      <c r="H19" s="50" t="n"/>
      <c r="I19" s="60">
        <f>IF(OR(F19="",G19='Configuración'!$C$39,G19='Configuración'!$C$36),"",INDEX('Seguimiento semanal'!$C$6:$C$29,COUNT('Seguimiento semanal'!$E$6:$E$29))-F19)</f>
        <v/>
      </c>
      <c r="J19" s="61">
        <f>IF(OR(E19="",F19=""),"",MAX(0,F19-E19))</f>
        <v/>
      </c>
      <c r="K19" s="58" t="n"/>
    </row>
    <row r="20" ht="18" customHeight="1">
      <c r="B20" s="58" t="n"/>
      <c r="C20" s="58" t="n"/>
      <c r="D20" s="58" t="n"/>
      <c r="E20" s="50" t="n"/>
      <c r="F20" s="50" t="n"/>
      <c r="G20" s="59" t="n"/>
      <c r="H20" s="50" t="n"/>
      <c r="I20" s="60">
        <f>IF(OR(F20="",G20='Configuración'!$C$39,G20='Configuración'!$C$36),"",INDEX('Seguimiento semanal'!$C$6:$C$29,COUNT('Seguimiento semanal'!$E$6:$E$29))-F20)</f>
        <v/>
      </c>
      <c r="J20" s="61">
        <f>IF(OR(E20="",F20=""),"",MAX(0,F20-E20))</f>
        <v/>
      </c>
      <c r="K20" s="58" t="n"/>
    </row>
    <row r="21" ht="18" customHeight="1">
      <c r="B21" s="58" t="n"/>
      <c r="C21" s="58" t="n"/>
      <c r="D21" s="58" t="n"/>
      <c r="E21" s="50" t="n"/>
      <c r="F21" s="50" t="n"/>
      <c r="G21" s="59" t="n"/>
      <c r="H21" s="50" t="n"/>
      <c r="I21" s="60">
        <f>IF(OR(F21="",G21='Configuración'!$C$39,G21='Configuración'!$C$36),"",INDEX('Seguimiento semanal'!$C$6:$C$29,COUNT('Seguimiento semanal'!$E$6:$E$29))-F21)</f>
        <v/>
      </c>
      <c r="J21" s="61">
        <f>IF(OR(E21="",F21=""),"",MAX(0,F21-E21))</f>
        <v/>
      </c>
      <c r="K21" s="58" t="n"/>
    </row>
    <row r="22" ht="18" customHeight="1">
      <c r="B22" s="58" t="n"/>
      <c r="C22" s="58" t="n"/>
      <c r="D22" s="58" t="n"/>
      <c r="E22" s="50" t="n"/>
      <c r="F22" s="50" t="n"/>
      <c r="G22" s="59" t="n"/>
      <c r="H22" s="50" t="n"/>
      <c r="I22" s="60">
        <f>IF(OR(F22="",G22='Configuración'!$C$39,G22='Configuración'!$C$36),"",INDEX('Seguimiento semanal'!$C$6:$C$29,COUNT('Seguimiento semanal'!$E$6:$E$29))-F22)</f>
        <v/>
      </c>
      <c r="J22" s="61">
        <f>IF(OR(E22="",F22=""),"",MAX(0,F22-E22))</f>
        <v/>
      </c>
      <c r="K22" s="58" t="n"/>
    </row>
    <row r="23" ht="18" customHeight="1">
      <c r="B23" s="58" t="n"/>
      <c r="C23" s="58" t="n"/>
      <c r="D23" s="58" t="n"/>
      <c r="E23" s="50" t="n"/>
      <c r="F23" s="50" t="n"/>
      <c r="G23" s="59" t="n"/>
      <c r="H23" s="50" t="n"/>
      <c r="I23" s="60">
        <f>IF(OR(F23="",G23='Configuración'!$C$39,G23='Configuración'!$C$36),"",INDEX('Seguimiento semanal'!$C$6:$C$29,COUNT('Seguimiento semanal'!$E$6:$E$29))-F23)</f>
        <v/>
      </c>
      <c r="J23" s="61">
        <f>IF(OR(E23="",F23=""),"",MAX(0,F23-E23))</f>
        <v/>
      </c>
      <c r="K23" s="58" t="n"/>
    </row>
    <row r="24" ht="18" customHeight="1">
      <c r="B24" s="58" t="n"/>
      <c r="C24" s="58" t="n"/>
      <c r="D24" s="58" t="n"/>
      <c r="E24" s="50" t="n"/>
      <c r="F24" s="50" t="n"/>
      <c r="G24" s="59" t="n"/>
      <c r="H24" s="50" t="n"/>
      <c r="I24" s="60">
        <f>IF(OR(F24="",G24='Configuración'!$C$39,G24='Configuración'!$C$36),"",INDEX('Seguimiento semanal'!$C$6:$C$29,COUNT('Seguimiento semanal'!$E$6:$E$29))-F24)</f>
        <v/>
      </c>
      <c r="J24" s="61">
        <f>IF(OR(E24="",F24=""),"",MAX(0,F24-E24))</f>
        <v/>
      </c>
      <c r="K24" s="58" t="n"/>
    </row>
    <row r="25" ht="18" customHeight="1">
      <c r="B25" s="58" t="n"/>
      <c r="C25" s="58" t="n"/>
      <c r="D25" s="58" t="n"/>
      <c r="E25" s="50" t="n"/>
      <c r="F25" s="50" t="n"/>
      <c r="G25" s="59" t="n"/>
      <c r="H25" s="50" t="n"/>
      <c r="I25" s="60">
        <f>IF(OR(F25="",G25='Configuración'!$C$39,G25='Configuración'!$C$36),"",INDEX('Seguimiento semanal'!$C$6:$C$29,COUNT('Seguimiento semanal'!$E$6:$E$29))-F25)</f>
        <v/>
      </c>
      <c r="J25" s="61">
        <f>IF(OR(E25="",F25=""),"",MAX(0,F25-E25))</f>
        <v/>
      </c>
      <c r="K25" s="58" t="n"/>
    </row>
    <row r="26" ht="18" customHeight="1">
      <c r="B26" s="58" t="n"/>
      <c r="C26" s="58" t="n"/>
      <c r="D26" s="58" t="n"/>
      <c r="E26" s="50" t="n"/>
      <c r="F26" s="50" t="n"/>
      <c r="G26" s="59" t="n"/>
      <c r="H26" s="50" t="n"/>
      <c r="I26" s="60">
        <f>IF(OR(F26="",G26='Configuración'!$C$39,G26='Configuración'!$C$36),"",INDEX('Seguimiento semanal'!$C$6:$C$29,COUNT('Seguimiento semanal'!$E$6:$E$29))-F26)</f>
        <v/>
      </c>
      <c r="J26" s="61">
        <f>IF(OR(E26="",F26=""),"",MAX(0,F26-E26))</f>
        <v/>
      </c>
      <c r="K26" s="58" t="n"/>
    </row>
    <row r="27" ht="18" customHeight="1">
      <c r="B27" s="58" t="n"/>
      <c r="C27" s="58" t="n"/>
      <c r="D27" s="58" t="n"/>
      <c r="E27" s="50" t="n"/>
      <c r="F27" s="50" t="n"/>
      <c r="G27" s="59" t="n"/>
      <c r="H27" s="50" t="n"/>
      <c r="I27" s="60">
        <f>IF(OR(F27="",G27='Configuración'!$C$39,G27='Configuración'!$C$36),"",INDEX('Seguimiento semanal'!$C$6:$C$29,COUNT('Seguimiento semanal'!$E$6:$E$29))-F27)</f>
        <v/>
      </c>
      <c r="J27" s="61">
        <f>IF(OR(E27="",F27=""),"",MAX(0,F27-E27))</f>
        <v/>
      </c>
      <c r="K27" s="58" t="n"/>
    </row>
    <row r="28" ht="18" customHeight="1">
      <c r="B28" s="58" t="n"/>
      <c r="C28" s="58" t="n"/>
      <c r="D28" s="58" t="n"/>
      <c r="E28" s="50" t="n"/>
      <c r="F28" s="50" t="n"/>
      <c r="G28" s="59" t="n"/>
      <c r="H28" s="50" t="n"/>
      <c r="I28" s="60">
        <f>IF(OR(F28="",G28='Configuración'!$C$39,G28='Configuración'!$C$36),"",INDEX('Seguimiento semanal'!$C$6:$C$29,COUNT('Seguimiento semanal'!$E$6:$E$29))-F28)</f>
        <v/>
      </c>
      <c r="J28" s="61">
        <f>IF(OR(E28="",F28=""),"",MAX(0,F28-E28))</f>
        <v/>
      </c>
      <c r="K28" s="58" t="n"/>
    </row>
    <row r="29" ht="18" customHeight="1">
      <c r="B29" s="58" t="n"/>
      <c r="C29" s="58" t="n"/>
      <c r="D29" s="58" t="n"/>
      <c r="E29" s="50" t="n"/>
      <c r="F29" s="50" t="n"/>
      <c r="G29" s="59" t="n"/>
      <c r="H29" s="50" t="n"/>
      <c r="I29" s="60">
        <f>IF(OR(F29="",G29='Configuración'!$C$39,G29='Configuración'!$C$36),"",INDEX('Seguimiento semanal'!$C$6:$C$29,COUNT('Seguimiento semanal'!$E$6:$E$29))-F29)</f>
        <v/>
      </c>
      <c r="J29" s="61">
        <f>IF(OR(E29="",F29=""),"",MAX(0,F29-E29))</f>
        <v/>
      </c>
      <c r="K29" s="58" t="n"/>
    </row>
    <row r="30" ht="18" customHeight="1">
      <c r="B30" s="58" t="n"/>
      <c r="C30" s="58" t="n"/>
      <c r="D30" s="58" t="n"/>
      <c r="E30" s="50" t="n"/>
      <c r="F30" s="50" t="n"/>
      <c r="G30" s="59" t="n"/>
      <c r="H30" s="50" t="n"/>
      <c r="I30" s="60">
        <f>IF(OR(F30="",G30='Configuración'!$C$39,G30='Configuración'!$C$36),"",INDEX('Seguimiento semanal'!$C$6:$C$29,COUNT('Seguimiento semanal'!$E$6:$E$29))-F30)</f>
        <v/>
      </c>
      <c r="J30" s="61">
        <f>IF(OR(E30="",F30=""),"",MAX(0,F30-E30))</f>
        <v/>
      </c>
      <c r="K30" s="58" t="n"/>
    </row>
    <row r="31" ht="18" customHeight="1">
      <c r="B31" s="58" t="n"/>
      <c r="C31" s="58" t="n"/>
      <c r="D31" s="58" t="n"/>
      <c r="E31" s="50" t="n"/>
      <c r="F31" s="50" t="n"/>
      <c r="G31" s="59" t="n"/>
      <c r="H31" s="50" t="n"/>
      <c r="I31" s="60">
        <f>IF(OR(F31="",G31='Configuración'!$C$39,G31='Configuración'!$C$36),"",INDEX('Seguimiento semanal'!$C$6:$C$29,COUNT('Seguimiento semanal'!$E$6:$E$29))-F31)</f>
        <v/>
      </c>
      <c r="J31" s="61">
        <f>IF(OR(E31="",F31=""),"",MAX(0,F31-E31))</f>
        <v/>
      </c>
      <c r="K31" s="58" t="n"/>
    </row>
    <row r="32" ht="18" customHeight="1">
      <c r="B32" s="58" t="n"/>
      <c r="C32" s="58" t="n"/>
      <c r="D32" s="58" t="n"/>
      <c r="E32" s="50" t="n"/>
      <c r="F32" s="50" t="n"/>
      <c r="G32" s="59" t="n"/>
      <c r="H32" s="50" t="n"/>
      <c r="I32" s="60">
        <f>IF(OR(F32="",G32='Configuración'!$C$39,G32='Configuración'!$C$36),"",INDEX('Seguimiento semanal'!$C$6:$C$29,COUNT('Seguimiento semanal'!$E$6:$E$29))-F32)</f>
        <v/>
      </c>
      <c r="J32" s="61">
        <f>IF(OR(E32="",F32=""),"",MAX(0,F32-E32))</f>
        <v/>
      </c>
      <c r="K32" s="58" t="n"/>
    </row>
    <row r="33" ht="18" customHeight="1">
      <c r="B33" s="58" t="n"/>
      <c r="C33" s="58" t="n"/>
      <c r="D33" s="58" t="n"/>
      <c r="E33" s="50" t="n"/>
      <c r="F33" s="50" t="n"/>
      <c r="G33" s="59" t="n"/>
      <c r="H33" s="50" t="n"/>
      <c r="I33" s="60">
        <f>IF(OR(F33="",G33='Configuración'!$C$39,G33='Configuración'!$C$36),"",INDEX('Seguimiento semanal'!$C$6:$C$29,COUNT('Seguimiento semanal'!$E$6:$E$29))-F33)</f>
        <v/>
      </c>
      <c r="J33" s="61">
        <f>IF(OR(E33="",F33=""),"",MAX(0,F33-E33))</f>
        <v/>
      </c>
      <c r="K33" s="58" t="n"/>
    </row>
    <row r="34" ht="18" customHeight="1">
      <c r="B34" s="58" t="n"/>
      <c r="C34" s="58" t="n"/>
      <c r="D34" s="58" t="n"/>
      <c r="E34" s="50" t="n"/>
      <c r="F34" s="50" t="n"/>
      <c r="G34" s="59" t="n"/>
      <c r="H34" s="50" t="n"/>
      <c r="I34" s="60">
        <f>IF(OR(F34="",G34='Configuración'!$C$39,G34='Configuración'!$C$36),"",INDEX('Seguimiento semanal'!$C$6:$C$29,COUNT('Seguimiento semanal'!$E$6:$E$29))-F34)</f>
        <v/>
      </c>
      <c r="J34" s="61">
        <f>IF(OR(E34="",F34=""),"",MAX(0,F34-E34))</f>
        <v/>
      </c>
      <c r="K34" s="58" t="n"/>
    </row>
    <row r="35" ht="18" customHeight="1">
      <c r="B35" s="58" t="n"/>
      <c r="C35" s="58" t="n"/>
      <c r="D35" s="58" t="n"/>
      <c r="E35" s="50" t="n"/>
      <c r="F35" s="50" t="n"/>
      <c r="G35" s="59" t="n"/>
      <c r="H35" s="50" t="n"/>
      <c r="I35" s="60">
        <f>IF(OR(F35="",G35='Configuración'!$C$39,G35='Configuración'!$C$36),"",INDEX('Seguimiento semanal'!$C$6:$C$29,COUNT('Seguimiento semanal'!$E$6:$E$29))-F35)</f>
        <v/>
      </c>
      <c r="J35" s="61">
        <f>IF(OR(E35="",F35=""),"",MAX(0,F35-E35))</f>
        <v/>
      </c>
      <c r="K35" s="58" t="n"/>
    </row>
    <row r="37">
      <c r="B37" s="30" t="inlineStr">
        <is>
          <t>© Carlos Alberto Ruiz Brito · 05/10/2026 · Delivery con Charly Brito · carlosruizbrito.com · Licencia CC BY 4.0 (uso y adaptación citando al autor)</t>
        </is>
      </c>
    </row>
  </sheetData>
  <conditionalFormatting sqref="G6:G35">
    <cfRule type="cellIs" priority="1" operator="equal" dxfId="0">
      <formula>'Configuración'!$C$39</formula>
    </cfRule>
    <cfRule type="cellIs" priority="2" operator="equal" dxfId="1">
      <formula>'Configuración'!$C$37</formula>
    </cfRule>
    <cfRule type="cellIs" priority="3" operator="equal" dxfId="10">
      <formula>'Configuración'!$C$38</formula>
    </cfRule>
    <cfRule type="cellIs" priority="4" operator="equal" dxfId="13">
      <formula>'Configuración'!$C$36</formula>
    </cfRule>
  </conditionalFormatting>
  <conditionalFormatting sqref="I6:I35">
    <cfRule type="expression" priority="5" dxfId="2">
      <formula>AND(ISNUMBER(I6),I6&gt;'Configuración'!$C$25)</formula>
    </cfRule>
    <cfRule type="dataBar" priority="6">
      <dataBar showValue="1">
        <cfvo type="num" val="0"/>
        <cfvo type="num" val="30"/>
        <color rgb="00F0B429"/>
      </dataBar>
    </cfRule>
  </conditionalFormatting>
  <dataValidations count="1">
    <dataValidation sqref="G6 G7 G8 G9 G10 G11 G12 G13 G14 G15 G16 G17 G18 G19 G20 G21 G22 G23 G24 G25 G26 G27 G28 G29 G30 G31 G32 G33 G34 G35" showDropDown="0" showInputMessage="0" showErrorMessage="0" allowBlank="1" type="list">
      <formula1>'Configuración'!$C$36:$C$39</formula1>
    </dataValidation>
  </dataValidations>
  <pageMargins left="0.4" right="0.4" top="0.5" bottom="0.6" header="0.5" footer="0.5"/>
  <pageSetup orientation="landscape" paperSize="1" fitToHeight="0" fitToWidth="1"/>
  <headerFooter>
    <oddHeader/>
    <oddFooter>&amp;C&amp;"Arial,Italic"&amp;8© Carlos Alberto Ruiz Brito · 05/10/2026 · Delivery con Charly Brito · carlosruizbrito.com · CC BY 4.0</oddFooter>
    <evenHeader/>
    <evenFooter>&amp;C&amp;"Arial,Italic"&amp;8© Carlos Alberto Ruiz Brito · 05/10/2026 · Delivery con Charly Brito · carlosruizbrito.com · CC BY 4.0</evenFooter>
    <firstHeader/>
    <firstFooter/>
  </headerFooter>
</worksheet>
</file>

<file path=xl/worksheets/sheet6.xml><?xml version="1.0" encoding="utf-8"?>
<worksheet xmlns="http://schemas.openxmlformats.org/spreadsheetml/2006/main">
  <sheetPr>
    <outlinePr summaryBelow="1" summaryRight="1"/>
    <pageSetUpPr fitToPage="1"/>
  </sheetPr>
  <dimension ref="A1:Q37"/>
  <sheetViews>
    <sheetView showGridLines="0" workbookViewId="0">
      <pane xSplit="4" ySplit="5" topLeftCell="E6" activePane="bottomRight" state="frozen"/>
      <selection pane="topRight"/>
      <selection pane="bottomLeft"/>
      <selection pane="bottomRight" activeCell="A1" sqref="A1"/>
    </sheetView>
  </sheetViews>
  <sheetFormatPr baseColWidth="8" defaultRowHeight="15"/>
  <cols>
    <col width="2" customWidth="1" min="1" max="1"/>
    <col width="7" customWidth="1" min="2" max="2"/>
    <col width="11" customWidth="1" min="3" max="3"/>
    <col width="34" customWidth="1" min="4" max="4"/>
    <col width="15" customWidth="1" min="5" max="5"/>
    <col width="12" customWidth="1" min="6" max="6"/>
    <col width="26" customWidth="1" min="7" max="7"/>
    <col width="30" customWidth="1" min="8" max="8"/>
    <col width="8" customWidth="1" min="9" max="9"/>
    <col width="8" customWidth="1" min="10" max="10"/>
    <col width="9" customWidth="1" min="11" max="11"/>
    <col width="10" customWidth="1" min="12" max="12"/>
    <col width="10" customWidth="1" min="13" max="13"/>
    <col width="11" customWidth="1" min="14" max="14"/>
    <col width="11" customWidth="1" min="15" max="15"/>
    <col hidden="1" width="0.1" customWidth="1" min="16" max="16"/>
    <col width="2" customWidth="1" min="17" max="17"/>
  </cols>
  <sheetData>
    <row r="1" ht="30" customHeight="1">
      <c r="A1" s="1" t="n"/>
      <c r="B1" s="31" t="inlineStr">
        <is>
          <t>Riesgos y problemas</t>
        </is>
      </c>
      <c r="C1" s="1" t="n"/>
      <c r="D1" s="1" t="n"/>
      <c r="E1" s="1" t="n"/>
      <c r="F1" s="1" t="n"/>
      <c r="G1" s="1" t="n"/>
      <c r="H1" s="1" t="n"/>
      <c r="I1" s="1" t="n"/>
      <c r="J1" s="1" t="n"/>
      <c r="K1" s="1" t="n"/>
      <c r="L1" s="1" t="n"/>
      <c r="M1" s="1" t="n"/>
      <c r="N1" s="1" t="n"/>
      <c r="O1" s="1" t="n"/>
      <c r="P1" s="1" t="n"/>
      <c r="Q1" s="1" t="n"/>
    </row>
    <row r="2" ht="18" customHeight="1">
      <c r="A2" s="1" t="n"/>
      <c r="B2" s="32" t="inlineStr">
        <is>
          <t>Un riesgo está gestionado solo si tiene los 4 campos: responsable, fecha de revisión, disparador y plan de respuesta.</t>
        </is>
      </c>
      <c r="C2" s="1" t="n"/>
      <c r="D2" s="1" t="n"/>
      <c r="E2" s="1" t="n"/>
      <c r="F2" s="1" t="n"/>
      <c r="G2" s="1" t="n"/>
      <c r="H2" s="1" t="n"/>
      <c r="I2" s="1" t="n"/>
      <c r="J2" s="1" t="n"/>
      <c r="K2" s="1" t="n"/>
      <c r="L2" s="1" t="n"/>
      <c r="M2" s="1" t="n"/>
      <c r="N2" s="1" t="n"/>
      <c r="O2" s="1" t="n"/>
      <c r="P2" s="1" t="n"/>
      <c r="Q2" s="1" t="n"/>
    </row>
    <row r="3" ht="10" customHeight="1">
      <c r="A3" s="1" t="n"/>
      <c r="B3" s="1" t="n"/>
      <c r="C3" s="1" t="n"/>
      <c r="D3" s="1" t="n"/>
      <c r="E3" s="1" t="n"/>
      <c r="F3" s="1" t="n"/>
      <c r="G3" s="1" t="n"/>
      <c r="H3" s="1" t="n"/>
      <c r="I3" s="1" t="n"/>
      <c r="J3" s="1" t="n"/>
      <c r="K3" s="1" t="n"/>
      <c r="L3" s="1" t="n"/>
      <c r="M3" s="1" t="n"/>
      <c r="N3" s="1" t="n"/>
      <c r="O3" s="1" t="n"/>
      <c r="P3" s="1" t="n"/>
      <c r="Q3" s="1" t="n"/>
    </row>
    <row r="5" ht="36" customHeight="1">
      <c r="B5" s="35" t="inlineStr">
        <is>
          <t>ID</t>
        </is>
      </c>
      <c r="C5" s="35" t="inlineStr">
        <is>
          <t>Tipo</t>
        </is>
      </c>
      <c r="D5" s="35" t="inlineStr">
        <is>
          <t>Descripción</t>
        </is>
      </c>
      <c r="E5" s="35" t="inlineStr">
        <is>
          <t>Responsable</t>
        </is>
      </c>
      <c r="F5" s="35" t="inlineStr">
        <is>
          <t>Fecha revisión</t>
        </is>
      </c>
      <c r="G5" s="35" t="inlineStr">
        <is>
          <t>Disparador</t>
        </is>
      </c>
      <c r="H5" s="35" t="inlineStr">
        <is>
          <t>Plan de respuesta</t>
        </is>
      </c>
      <c r="I5" s="35" t="inlineStr">
        <is>
          <t>Prob. (1-5)</t>
        </is>
      </c>
      <c r="J5" s="35" t="inlineStr">
        <is>
          <t>Impacto (1-5)</t>
        </is>
      </c>
      <c r="K5" s="35" t="inlineStr">
        <is>
          <t>Severidad</t>
        </is>
      </c>
      <c r="L5" s="35" t="inlineStr">
        <is>
          <t>Nivel</t>
        </is>
      </c>
      <c r="M5" s="35" t="inlineStr">
        <is>
          <t>Estado</t>
        </is>
      </c>
      <c r="N5" s="35" t="inlineStr">
        <is>
          <t>¿4 campos?</t>
        </is>
      </c>
      <c r="O5" s="35" t="inlineStr">
        <is>
          <t>¿Revisión vencida?</t>
        </is>
      </c>
      <c r="P5" s="35" t="inlineStr">
        <is>
          <t>key</t>
        </is>
      </c>
    </row>
    <row r="6" ht="30" customHeight="1">
      <c r="B6" s="62" t="inlineStr">
        <is>
          <t>R-01</t>
        </is>
      </c>
      <c r="C6" s="62" t="inlineStr">
        <is>
          <t>Riesgo</t>
        </is>
      </c>
      <c r="D6" s="63" t="inlineStr">
        <is>
          <t>Ventana de mantenimiento no autorizada a tiempo</t>
        </is>
      </c>
      <c r="E6" s="63" t="inlineStr">
        <is>
          <t>Líder técnico</t>
        </is>
      </c>
      <c r="F6" s="64" t="n">
        <v>46304</v>
      </c>
      <c r="G6" s="63" t="inlineStr">
        <is>
          <t>Sin aprobación 5 días antes</t>
        </is>
      </c>
      <c r="H6" s="63" t="inlineStr">
        <is>
          <t>Escalar a gerencia del cliente; reservar ventana alterna</t>
        </is>
      </c>
      <c r="I6" s="62" t="n">
        <v>4</v>
      </c>
      <c r="J6" s="62" t="n">
        <v>4</v>
      </c>
      <c r="K6" s="65">
        <f>IF(AND(ISNUMBER(I6),ISNUMBER(J6)),I6*J6,"")</f>
        <v/>
      </c>
      <c r="L6" s="66">
        <f>IF(K6="","",IF(K6&gt;='Configuración'!$C$26,'Configuración'!$C$46,IF(K6&gt;='Configuración'!$C$27,'Configuración'!$C$47,IF(K6&gt;='Configuración'!$C$28,'Configuración'!$C$48,'Configuración'!$C$49))))</f>
        <v/>
      </c>
      <c r="M6" s="62" t="inlineStr">
        <is>
          <t>Abierto</t>
        </is>
      </c>
      <c r="N6" s="65">
        <f>IF(B6="","",IF(COUNTA(E6,F6,G6,H6)=4,"Sí","No"))</f>
        <v/>
      </c>
      <c r="O6" s="65">
        <f>IF(OR(B6="",M6='Configuración'!$C$45),"",IF(AND(ISNUMBER(F6),F6&lt;INDEX('Seguimiento semanal'!$C$6:$C$29,COUNT('Seguimiento semanal'!$E$6:$E$29))),"Sí","No"))</f>
        <v/>
      </c>
      <c r="P6" s="65">
        <f>IF(AND(M6='Configuración'!$C$44,ISNUMBER(K6)),K6+(100-ROW())/1000,0)</f>
        <v/>
      </c>
    </row>
    <row r="7" ht="30" customHeight="1">
      <c r="B7" s="62" t="inlineStr">
        <is>
          <t>R-02</t>
        </is>
      </c>
      <c r="C7" s="62" t="inlineStr">
        <is>
          <t>Riesgo</t>
        </is>
      </c>
      <c r="D7" s="63" t="inlineStr">
        <is>
          <t>Licencias del proveedor no entregadas</t>
        </is>
      </c>
      <c r="E7" s="63" t="inlineStr"/>
      <c r="F7" s="64" t="n">
        <v>46295</v>
      </c>
      <c r="G7" s="63" t="inlineStr">
        <is>
          <t>Licencias no recibidas al 10/10</t>
        </is>
      </c>
      <c r="H7" s="63" t="inlineStr">
        <is>
          <t>Solicitar licencias temporales</t>
        </is>
      </c>
      <c r="I7" s="62" t="n">
        <v>3</v>
      </c>
      <c r="J7" s="62" t="n">
        <v>3</v>
      </c>
      <c r="K7" s="65">
        <f>IF(AND(ISNUMBER(I7),ISNUMBER(J7)),I7*J7,"")</f>
        <v/>
      </c>
      <c r="L7" s="66">
        <f>IF(K7="","",IF(K7&gt;='Configuración'!$C$26,'Configuración'!$C$46,IF(K7&gt;='Configuración'!$C$27,'Configuración'!$C$47,IF(K7&gt;='Configuración'!$C$28,'Configuración'!$C$48,'Configuración'!$C$49))))</f>
        <v/>
      </c>
      <c r="M7" s="62" t="inlineStr">
        <is>
          <t>Abierto</t>
        </is>
      </c>
      <c r="N7" s="65">
        <f>IF(B7="","",IF(COUNTA(E7,F7,G7,H7)=4,"Sí","No"))</f>
        <v/>
      </c>
      <c r="O7" s="65">
        <f>IF(OR(B7="",M7='Configuración'!$C$45),"",IF(AND(ISNUMBER(F7),F7&lt;INDEX('Seguimiento semanal'!$C$6:$C$29,COUNT('Seguimiento semanal'!$E$6:$E$29))),"Sí","No"))</f>
        <v/>
      </c>
      <c r="P7" s="65">
        <f>IF(AND(M7='Configuración'!$C$44,ISNUMBER(K7)),K7+(100-ROW())/1000,0)</f>
        <v/>
      </c>
    </row>
    <row r="8" ht="30" customHeight="1">
      <c r="B8" s="62" t="inlineStr">
        <is>
          <t>P-01</t>
        </is>
      </c>
      <c r="C8" s="62" t="inlineStr">
        <is>
          <t>Problema</t>
        </is>
      </c>
      <c r="D8" s="63" t="inlineStr">
        <is>
          <t>Usuario clave sin disponibilidad para pruebas</t>
        </is>
      </c>
      <c r="E8" s="63" t="inlineStr">
        <is>
          <t>PM</t>
        </is>
      </c>
      <c r="F8" s="64" t="n">
        <v>46300</v>
      </c>
      <c r="G8" s="63" t="inlineStr">
        <is>
          <t>Materializado</t>
        </is>
      </c>
      <c r="H8" s="63" t="inlineStr">
        <is>
          <t>Acordar sustituto con el patrocinador</t>
        </is>
      </c>
      <c r="I8" s="62" t="n">
        <v>5</v>
      </c>
      <c r="J8" s="62" t="n">
        <v>3</v>
      </c>
      <c r="K8" s="65">
        <f>IF(AND(ISNUMBER(I8),ISNUMBER(J8)),I8*J8,"")</f>
        <v/>
      </c>
      <c r="L8" s="66">
        <f>IF(K8="","",IF(K8&gt;='Configuración'!$C$26,'Configuración'!$C$46,IF(K8&gt;='Configuración'!$C$27,'Configuración'!$C$47,IF(K8&gt;='Configuración'!$C$28,'Configuración'!$C$48,'Configuración'!$C$49))))</f>
        <v/>
      </c>
      <c r="M8" s="62" t="inlineStr">
        <is>
          <t>Abierto</t>
        </is>
      </c>
      <c r="N8" s="65">
        <f>IF(B8="","",IF(COUNTA(E8,F8,G8,H8)=4,"Sí","No"))</f>
        <v/>
      </c>
      <c r="O8" s="65">
        <f>IF(OR(B8="",M8='Configuración'!$C$45),"",IF(AND(ISNUMBER(F8),F8&lt;INDEX('Seguimiento semanal'!$C$6:$C$29,COUNT('Seguimiento semanal'!$E$6:$E$29))),"Sí","No"))</f>
        <v/>
      </c>
      <c r="P8" s="65">
        <f>IF(AND(M8='Configuración'!$C$44,ISNUMBER(K8)),K8+(100-ROW())/1000,0)</f>
        <v/>
      </c>
    </row>
    <row r="9" ht="30" customHeight="1">
      <c r="B9" s="62" t="inlineStr">
        <is>
          <t>R-03</t>
        </is>
      </c>
      <c r="C9" s="62" t="inlineStr">
        <is>
          <t>Riesgo</t>
        </is>
      </c>
      <c r="D9" s="63" t="inlineStr">
        <is>
          <t>Rotación en el equipo de infraestructura</t>
        </is>
      </c>
      <c r="E9" s="63" t="inlineStr">
        <is>
          <t>PM</t>
        </is>
      </c>
      <c r="F9" s="64" t="n">
        <v>46309</v>
      </c>
      <c r="G9" s="63" t="inlineStr">
        <is>
          <t>Aviso de baja de un integrante</t>
        </is>
      </c>
      <c r="H9" s="63" t="inlineStr">
        <is>
          <t>Documentar y asignar respaldo por rol</t>
        </is>
      </c>
      <c r="I9" s="62" t="n">
        <v>2</v>
      </c>
      <c r="J9" s="62" t="n">
        <v>3</v>
      </c>
      <c r="K9" s="65">
        <f>IF(AND(ISNUMBER(I9),ISNUMBER(J9)),I9*J9,"")</f>
        <v/>
      </c>
      <c r="L9" s="66">
        <f>IF(K9="","",IF(K9&gt;='Configuración'!$C$26,'Configuración'!$C$46,IF(K9&gt;='Configuración'!$C$27,'Configuración'!$C$47,IF(K9&gt;='Configuración'!$C$28,'Configuración'!$C$48,'Configuración'!$C$49))))</f>
        <v/>
      </c>
      <c r="M9" s="62" t="inlineStr">
        <is>
          <t>Abierto</t>
        </is>
      </c>
      <c r="N9" s="65">
        <f>IF(B9="","",IF(COUNTA(E9,F9,G9,H9)=4,"Sí","No"))</f>
        <v/>
      </c>
      <c r="O9" s="65">
        <f>IF(OR(B9="",M9='Configuración'!$C$45),"",IF(AND(ISNUMBER(F9),F9&lt;INDEX('Seguimiento semanal'!$C$6:$C$29,COUNT('Seguimiento semanal'!$E$6:$E$29))),"Sí","No"))</f>
        <v/>
      </c>
      <c r="P9" s="65">
        <f>IF(AND(M9='Configuración'!$C$44,ISNUMBER(K9)),K9+(100-ROW())/1000,0)</f>
        <v/>
      </c>
    </row>
    <row r="10" ht="30" customHeight="1">
      <c r="B10" s="62" t="inlineStr">
        <is>
          <t>R-04</t>
        </is>
      </c>
      <c r="C10" s="62" t="inlineStr">
        <is>
          <t>Riesgo</t>
        </is>
      </c>
      <c r="D10" s="63" t="inlineStr">
        <is>
          <t>Retraso en compra de almacenamiento adicional</t>
        </is>
      </c>
      <c r="E10" s="63" t="inlineStr">
        <is>
          <t>Compras</t>
        </is>
      </c>
      <c r="F10" s="64" t="n">
        <v>46315</v>
      </c>
      <c r="G10" s="63" t="inlineStr">
        <is>
          <t>OC sin liberar al 15/10</t>
        </is>
      </c>
      <c r="H10" s="63" t="inlineStr">
        <is>
          <t>Escalar con dirección de compras</t>
        </is>
      </c>
      <c r="I10" s="62" t="n">
        <v>2</v>
      </c>
      <c r="J10" s="62" t="n">
        <v>4</v>
      </c>
      <c r="K10" s="65">
        <f>IF(AND(ISNUMBER(I10),ISNUMBER(J10)),I10*J10,"")</f>
        <v/>
      </c>
      <c r="L10" s="66">
        <f>IF(K10="","",IF(K10&gt;='Configuración'!$C$26,'Configuración'!$C$46,IF(K10&gt;='Configuración'!$C$27,'Configuración'!$C$47,IF(K10&gt;='Configuración'!$C$28,'Configuración'!$C$48,'Configuración'!$C$49))))</f>
        <v/>
      </c>
      <c r="M10" s="62" t="inlineStr">
        <is>
          <t>Abierto</t>
        </is>
      </c>
      <c r="N10" s="65">
        <f>IF(B10="","",IF(COUNTA(E10,F10,G10,H10)=4,"Sí","No"))</f>
        <v/>
      </c>
      <c r="O10" s="65">
        <f>IF(OR(B10="",M10='Configuración'!$C$45),"",IF(AND(ISNUMBER(F10),F10&lt;INDEX('Seguimiento semanal'!$C$6:$C$29,COUNT('Seguimiento semanal'!$E$6:$E$29))),"Sí","No"))</f>
        <v/>
      </c>
      <c r="P10" s="65">
        <f>IF(AND(M10='Configuración'!$C$44,ISNUMBER(K10)),K10+(100-ROW())/1000,0)</f>
        <v/>
      </c>
    </row>
    <row r="11" ht="30" customHeight="1">
      <c r="B11" s="62" t="inlineStr">
        <is>
          <t>R-05</t>
        </is>
      </c>
      <c r="C11" s="62" t="inlineStr">
        <is>
          <t>Riesgo</t>
        </is>
      </c>
      <c r="D11" s="63" t="inlineStr">
        <is>
          <t>Cambio de alcance en reportes</t>
        </is>
      </c>
      <c r="E11" s="63" t="inlineStr">
        <is>
          <t>PM</t>
        </is>
      </c>
      <c r="F11" s="64" t="n">
        <v>46285</v>
      </c>
      <c r="G11" s="63" t="inlineStr">
        <is>
          <t>Solicitud formal del cliente</t>
        </is>
      </c>
      <c r="H11" s="63" t="inlineStr">
        <is>
          <t>Control de cambios</t>
        </is>
      </c>
      <c r="I11" s="62" t="n">
        <v>2</v>
      </c>
      <c r="J11" s="62" t="n">
        <v>2</v>
      </c>
      <c r="K11" s="65">
        <f>IF(AND(ISNUMBER(I11),ISNUMBER(J11)),I11*J11,"")</f>
        <v/>
      </c>
      <c r="L11" s="66">
        <f>IF(K11="","",IF(K11&gt;='Configuración'!$C$26,'Configuración'!$C$46,IF(K11&gt;='Configuración'!$C$27,'Configuración'!$C$47,IF(K11&gt;='Configuración'!$C$28,'Configuración'!$C$48,'Configuración'!$C$49))))</f>
        <v/>
      </c>
      <c r="M11" s="62" t="inlineStr">
        <is>
          <t>Cerrado</t>
        </is>
      </c>
      <c r="N11" s="65">
        <f>IF(B11="","",IF(COUNTA(E11,F11,G11,H11)=4,"Sí","No"))</f>
        <v/>
      </c>
      <c r="O11" s="65">
        <f>IF(OR(B11="",M11='Configuración'!$C$45),"",IF(AND(ISNUMBER(F11),F11&lt;INDEX('Seguimiento semanal'!$C$6:$C$29,COUNT('Seguimiento semanal'!$E$6:$E$29))),"Sí","No"))</f>
        <v/>
      </c>
      <c r="P11" s="65">
        <f>IF(AND(M11='Configuración'!$C$44,ISNUMBER(K11)),K11+(100-ROW())/1000,0)</f>
        <v/>
      </c>
    </row>
    <row r="12" ht="30" customHeight="1">
      <c r="B12" s="62" t="n"/>
      <c r="C12" s="62" t="n"/>
      <c r="D12" s="63" t="n"/>
      <c r="E12" s="63" t="n"/>
      <c r="F12" s="64" t="n"/>
      <c r="G12" s="63" t="n"/>
      <c r="H12" s="63" t="n"/>
      <c r="I12" s="62" t="n"/>
      <c r="J12" s="62" t="n"/>
      <c r="K12" s="65">
        <f>IF(AND(ISNUMBER(I12),ISNUMBER(J12)),I12*J12,"")</f>
        <v/>
      </c>
      <c r="L12" s="66">
        <f>IF(K12="","",IF(K12&gt;='Configuración'!$C$26,'Configuración'!$C$46,IF(K12&gt;='Configuración'!$C$27,'Configuración'!$C$47,IF(K12&gt;='Configuración'!$C$28,'Configuración'!$C$48,'Configuración'!$C$49))))</f>
        <v/>
      </c>
      <c r="M12" s="62" t="n"/>
      <c r="N12" s="65">
        <f>IF(B12="","",IF(COUNTA(E12,F12,G12,H12)=4,"Sí","No"))</f>
        <v/>
      </c>
      <c r="O12" s="65">
        <f>IF(OR(B12="",M12='Configuración'!$C$45),"",IF(AND(ISNUMBER(F12),F12&lt;INDEX('Seguimiento semanal'!$C$6:$C$29,COUNT('Seguimiento semanal'!$E$6:$E$29))),"Sí","No"))</f>
        <v/>
      </c>
      <c r="P12" s="65">
        <f>IF(AND(M12='Configuración'!$C$44,ISNUMBER(K12)),K12+(100-ROW())/1000,0)</f>
        <v/>
      </c>
    </row>
    <row r="13" ht="30" customHeight="1">
      <c r="B13" s="62" t="n"/>
      <c r="C13" s="62" t="n"/>
      <c r="D13" s="63" t="n"/>
      <c r="E13" s="63" t="n"/>
      <c r="F13" s="64" t="n"/>
      <c r="G13" s="63" t="n"/>
      <c r="H13" s="63" t="n"/>
      <c r="I13" s="62" t="n"/>
      <c r="J13" s="62" t="n"/>
      <c r="K13" s="65">
        <f>IF(AND(ISNUMBER(I13),ISNUMBER(J13)),I13*J13,"")</f>
        <v/>
      </c>
      <c r="L13" s="66">
        <f>IF(K13="","",IF(K13&gt;='Configuración'!$C$26,'Configuración'!$C$46,IF(K13&gt;='Configuración'!$C$27,'Configuración'!$C$47,IF(K13&gt;='Configuración'!$C$28,'Configuración'!$C$48,'Configuración'!$C$49))))</f>
        <v/>
      </c>
      <c r="M13" s="62" t="n"/>
      <c r="N13" s="65">
        <f>IF(B13="","",IF(COUNTA(E13,F13,G13,H13)=4,"Sí","No"))</f>
        <v/>
      </c>
      <c r="O13" s="65">
        <f>IF(OR(B13="",M13='Configuración'!$C$45),"",IF(AND(ISNUMBER(F13),F13&lt;INDEX('Seguimiento semanal'!$C$6:$C$29,COUNT('Seguimiento semanal'!$E$6:$E$29))),"Sí","No"))</f>
        <v/>
      </c>
      <c r="P13" s="65">
        <f>IF(AND(M13='Configuración'!$C$44,ISNUMBER(K13)),K13+(100-ROW())/1000,0)</f>
        <v/>
      </c>
    </row>
    <row r="14" ht="30" customHeight="1">
      <c r="B14" s="62" t="n"/>
      <c r="C14" s="62" t="n"/>
      <c r="D14" s="63" t="n"/>
      <c r="E14" s="63" t="n"/>
      <c r="F14" s="64" t="n"/>
      <c r="G14" s="63" t="n"/>
      <c r="H14" s="63" t="n"/>
      <c r="I14" s="62" t="n"/>
      <c r="J14" s="62" t="n"/>
      <c r="K14" s="65">
        <f>IF(AND(ISNUMBER(I14),ISNUMBER(J14)),I14*J14,"")</f>
        <v/>
      </c>
      <c r="L14" s="66">
        <f>IF(K14="","",IF(K14&gt;='Configuración'!$C$26,'Configuración'!$C$46,IF(K14&gt;='Configuración'!$C$27,'Configuración'!$C$47,IF(K14&gt;='Configuración'!$C$28,'Configuración'!$C$48,'Configuración'!$C$49))))</f>
        <v/>
      </c>
      <c r="M14" s="62" t="n"/>
      <c r="N14" s="65">
        <f>IF(B14="","",IF(COUNTA(E14,F14,G14,H14)=4,"Sí","No"))</f>
        <v/>
      </c>
      <c r="O14" s="65">
        <f>IF(OR(B14="",M14='Configuración'!$C$45),"",IF(AND(ISNUMBER(F14),F14&lt;INDEX('Seguimiento semanal'!$C$6:$C$29,COUNT('Seguimiento semanal'!$E$6:$E$29))),"Sí","No"))</f>
        <v/>
      </c>
      <c r="P14" s="65">
        <f>IF(AND(M14='Configuración'!$C$44,ISNUMBER(K14)),K14+(100-ROW())/1000,0)</f>
        <v/>
      </c>
    </row>
    <row r="15" ht="30" customHeight="1">
      <c r="B15" s="62" t="n"/>
      <c r="C15" s="62" t="n"/>
      <c r="D15" s="63" t="n"/>
      <c r="E15" s="63" t="n"/>
      <c r="F15" s="64" t="n"/>
      <c r="G15" s="63" t="n"/>
      <c r="H15" s="63" t="n"/>
      <c r="I15" s="62" t="n"/>
      <c r="J15" s="62" t="n"/>
      <c r="K15" s="65">
        <f>IF(AND(ISNUMBER(I15),ISNUMBER(J15)),I15*J15,"")</f>
        <v/>
      </c>
      <c r="L15" s="66">
        <f>IF(K15="","",IF(K15&gt;='Configuración'!$C$26,'Configuración'!$C$46,IF(K15&gt;='Configuración'!$C$27,'Configuración'!$C$47,IF(K15&gt;='Configuración'!$C$28,'Configuración'!$C$48,'Configuración'!$C$49))))</f>
        <v/>
      </c>
      <c r="M15" s="62" t="n"/>
      <c r="N15" s="65">
        <f>IF(B15="","",IF(COUNTA(E15,F15,G15,H15)=4,"Sí","No"))</f>
        <v/>
      </c>
      <c r="O15" s="65">
        <f>IF(OR(B15="",M15='Configuración'!$C$45),"",IF(AND(ISNUMBER(F15),F15&lt;INDEX('Seguimiento semanal'!$C$6:$C$29,COUNT('Seguimiento semanal'!$E$6:$E$29))),"Sí","No"))</f>
        <v/>
      </c>
      <c r="P15" s="65">
        <f>IF(AND(M15='Configuración'!$C$44,ISNUMBER(K15)),K15+(100-ROW())/1000,0)</f>
        <v/>
      </c>
    </row>
    <row r="16" ht="30" customHeight="1">
      <c r="B16" s="62" t="n"/>
      <c r="C16" s="62" t="n"/>
      <c r="D16" s="63" t="n"/>
      <c r="E16" s="63" t="n"/>
      <c r="F16" s="64" t="n"/>
      <c r="G16" s="63" t="n"/>
      <c r="H16" s="63" t="n"/>
      <c r="I16" s="62" t="n"/>
      <c r="J16" s="62" t="n"/>
      <c r="K16" s="65">
        <f>IF(AND(ISNUMBER(I16),ISNUMBER(J16)),I16*J16,"")</f>
        <v/>
      </c>
      <c r="L16" s="66">
        <f>IF(K16="","",IF(K16&gt;='Configuración'!$C$26,'Configuración'!$C$46,IF(K16&gt;='Configuración'!$C$27,'Configuración'!$C$47,IF(K16&gt;='Configuración'!$C$28,'Configuración'!$C$48,'Configuración'!$C$49))))</f>
        <v/>
      </c>
      <c r="M16" s="62" t="n"/>
      <c r="N16" s="65">
        <f>IF(B16="","",IF(COUNTA(E16,F16,G16,H16)=4,"Sí","No"))</f>
        <v/>
      </c>
      <c r="O16" s="65">
        <f>IF(OR(B16="",M16='Configuración'!$C$45),"",IF(AND(ISNUMBER(F16),F16&lt;INDEX('Seguimiento semanal'!$C$6:$C$29,COUNT('Seguimiento semanal'!$E$6:$E$29))),"Sí","No"))</f>
        <v/>
      </c>
      <c r="P16" s="65">
        <f>IF(AND(M16='Configuración'!$C$44,ISNUMBER(K16)),K16+(100-ROW())/1000,0)</f>
        <v/>
      </c>
    </row>
    <row r="17" ht="30" customHeight="1">
      <c r="B17" s="62" t="n"/>
      <c r="C17" s="62" t="n"/>
      <c r="D17" s="63" t="n"/>
      <c r="E17" s="63" t="n"/>
      <c r="F17" s="64" t="n"/>
      <c r="G17" s="63" t="n"/>
      <c r="H17" s="63" t="n"/>
      <c r="I17" s="62" t="n"/>
      <c r="J17" s="62" t="n"/>
      <c r="K17" s="65">
        <f>IF(AND(ISNUMBER(I17),ISNUMBER(J17)),I17*J17,"")</f>
        <v/>
      </c>
      <c r="L17" s="66">
        <f>IF(K17="","",IF(K17&gt;='Configuración'!$C$26,'Configuración'!$C$46,IF(K17&gt;='Configuración'!$C$27,'Configuración'!$C$47,IF(K17&gt;='Configuración'!$C$28,'Configuración'!$C$48,'Configuración'!$C$49))))</f>
        <v/>
      </c>
      <c r="M17" s="62" t="n"/>
      <c r="N17" s="65">
        <f>IF(B17="","",IF(COUNTA(E17,F17,G17,H17)=4,"Sí","No"))</f>
        <v/>
      </c>
      <c r="O17" s="65">
        <f>IF(OR(B17="",M17='Configuración'!$C$45),"",IF(AND(ISNUMBER(F17),F17&lt;INDEX('Seguimiento semanal'!$C$6:$C$29,COUNT('Seguimiento semanal'!$E$6:$E$29))),"Sí","No"))</f>
        <v/>
      </c>
      <c r="P17" s="65">
        <f>IF(AND(M17='Configuración'!$C$44,ISNUMBER(K17)),K17+(100-ROW())/1000,0)</f>
        <v/>
      </c>
    </row>
    <row r="18" ht="30" customHeight="1">
      <c r="B18" s="62" t="n"/>
      <c r="C18" s="62" t="n"/>
      <c r="D18" s="63" t="n"/>
      <c r="E18" s="63" t="n"/>
      <c r="F18" s="64" t="n"/>
      <c r="G18" s="63" t="n"/>
      <c r="H18" s="63" t="n"/>
      <c r="I18" s="62" t="n"/>
      <c r="J18" s="62" t="n"/>
      <c r="K18" s="65">
        <f>IF(AND(ISNUMBER(I18),ISNUMBER(J18)),I18*J18,"")</f>
        <v/>
      </c>
      <c r="L18" s="66">
        <f>IF(K18="","",IF(K18&gt;='Configuración'!$C$26,'Configuración'!$C$46,IF(K18&gt;='Configuración'!$C$27,'Configuración'!$C$47,IF(K18&gt;='Configuración'!$C$28,'Configuración'!$C$48,'Configuración'!$C$49))))</f>
        <v/>
      </c>
      <c r="M18" s="62" t="n"/>
      <c r="N18" s="65">
        <f>IF(B18="","",IF(COUNTA(E18,F18,G18,H18)=4,"Sí","No"))</f>
        <v/>
      </c>
      <c r="O18" s="65">
        <f>IF(OR(B18="",M18='Configuración'!$C$45),"",IF(AND(ISNUMBER(F18),F18&lt;INDEX('Seguimiento semanal'!$C$6:$C$29,COUNT('Seguimiento semanal'!$E$6:$E$29))),"Sí","No"))</f>
        <v/>
      </c>
      <c r="P18" s="65">
        <f>IF(AND(M18='Configuración'!$C$44,ISNUMBER(K18)),K18+(100-ROW())/1000,0)</f>
        <v/>
      </c>
    </row>
    <row r="19" ht="30" customHeight="1">
      <c r="B19" s="62" t="n"/>
      <c r="C19" s="62" t="n"/>
      <c r="D19" s="63" t="n"/>
      <c r="E19" s="63" t="n"/>
      <c r="F19" s="64" t="n"/>
      <c r="G19" s="63" t="n"/>
      <c r="H19" s="63" t="n"/>
      <c r="I19" s="62" t="n"/>
      <c r="J19" s="62" t="n"/>
      <c r="K19" s="65">
        <f>IF(AND(ISNUMBER(I19),ISNUMBER(J19)),I19*J19,"")</f>
        <v/>
      </c>
      <c r="L19" s="66">
        <f>IF(K19="","",IF(K19&gt;='Configuración'!$C$26,'Configuración'!$C$46,IF(K19&gt;='Configuración'!$C$27,'Configuración'!$C$47,IF(K19&gt;='Configuración'!$C$28,'Configuración'!$C$48,'Configuración'!$C$49))))</f>
        <v/>
      </c>
      <c r="M19" s="62" t="n"/>
      <c r="N19" s="65">
        <f>IF(B19="","",IF(COUNTA(E19,F19,G19,H19)=4,"Sí","No"))</f>
        <v/>
      </c>
      <c r="O19" s="65">
        <f>IF(OR(B19="",M19='Configuración'!$C$45),"",IF(AND(ISNUMBER(F19),F19&lt;INDEX('Seguimiento semanal'!$C$6:$C$29,COUNT('Seguimiento semanal'!$E$6:$E$29))),"Sí","No"))</f>
        <v/>
      </c>
      <c r="P19" s="65">
        <f>IF(AND(M19='Configuración'!$C$44,ISNUMBER(K19)),K19+(100-ROW())/1000,0)</f>
        <v/>
      </c>
    </row>
    <row r="20" ht="30" customHeight="1">
      <c r="B20" s="62" t="n"/>
      <c r="C20" s="62" t="n"/>
      <c r="D20" s="63" t="n"/>
      <c r="E20" s="63" t="n"/>
      <c r="F20" s="64" t="n"/>
      <c r="G20" s="63" t="n"/>
      <c r="H20" s="63" t="n"/>
      <c r="I20" s="62" t="n"/>
      <c r="J20" s="62" t="n"/>
      <c r="K20" s="65">
        <f>IF(AND(ISNUMBER(I20),ISNUMBER(J20)),I20*J20,"")</f>
        <v/>
      </c>
      <c r="L20" s="66">
        <f>IF(K20="","",IF(K20&gt;='Configuración'!$C$26,'Configuración'!$C$46,IF(K20&gt;='Configuración'!$C$27,'Configuración'!$C$47,IF(K20&gt;='Configuración'!$C$28,'Configuración'!$C$48,'Configuración'!$C$49))))</f>
        <v/>
      </c>
      <c r="M20" s="62" t="n"/>
      <c r="N20" s="65">
        <f>IF(B20="","",IF(COUNTA(E20,F20,G20,H20)=4,"Sí","No"))</f>
        <v/>
      </c>
      <c r="O20" s="65">
        <f>IF(OR(B20="",M20='Configuración'!$C$45),"",IF(AND(ISNUMBER(F20),F20&lt;INDEX('Seguimiento semanal'!$C$6:$C$29,COUNT('Seguimiento semanal'!$E$6:$E$29))),"Sí","No"))</f>
        <v/>
      </c>
      <c r="P20" s="65">
        <f>IF(AND(M20='Configuración'!$C$44,ISNUMBER(K20)),K20+(100-ROW())/1000,0)</f>
        <v/>
      </c>
    </row>
    <row r="21" ht="30" customHeight="1">
      <c r="B21" s="62" t="n"/>
      <c r="C21" s="62" t="n"/>
      <c r="D21" s="63" t="n"/>
      <c r="E21" s="63" t="n"/>
      <c r="F21" s="64" t="n"/>
      <c r="G21" s="63" t="n"/>
      <c r="H21" s="63" t="n"/>
      <c r="I21" s="62" t="n"/>
      <c r="J21" s="62" t="n"/>
      <c r="K21" s="65">
        <f>IF(AND(ISNUMBER(I21),ISNUMBER(J21)),I21*J21,"")</f>
        <v/>
      </c>
      <c r="L21" s="66">
        <f>IF(K21="","",IF(K21&gt;='Configuración'!$C$26,'Configuración'!$C$46,IF(K21&gt;='Configuración'!$C$27,'Configuración'!$C$47,IF(K21&gt;='Configuración'!$C$28,'Configuración'!$C$48,'Configuración'!$C$49))))</f>
        <v/>
      </c>
      <c r="M21" s="62" t="n"/>
      <c r="N21" s="65">
        <f>IF(B21="","",IF(COUNTA(E21,F21,G21,H21)=4,"Sí","No"))</f>
        <v/>
      </c>
      <c r="O21" s="65">
        <f>IF(OR(B21="",M21='Configuración'!$C$45),"",IF(AND(ISNUMBER(F21),F21&lt;INDEX('Seguimiento semanal'!$C$6:$C$29,COUNT('Seguimiento semanal'!$E$6:$E$29))),"Sí","No"))</f>
        <v/>
      </c>
      <c r="P21" s="65">
        <f>IF(AND(M21='Configuración'!$C$44,ISNUMBER(K21)),K21+(100-ROW())/1000,0)</f>
        <v/>
      </c>
    </row>
    <row r="22" ht="30" customHeight="1">
      <c r="B22" s="62" t="n"/>
      <c r="C22" s="62" t="n"/>
      <c r="D22" s="63" t="n"/>
      <c r="E22" s="63" t="n"/>
      <c r="F22" s="64" t="n"/>
      <c r="G22" s="63" t="n"/>
      <c r="H22" s="63" t="n"/>
      <c r="I22" s="62" t="n"/>
      <c r="J22" s="62" t="n"/>
      <c r="K22" s="65">
        <f>IF(AND(ISNUMBER(I22),ISNUMBER(J22)),I22*J22,"")</f>
        <v/>
      </c>
      <c r="L22" s="66">
        <f>IF(K22="","",IF(K22&gt;='Configuración'!$C$26,'Configuración'!$C$46,IF(K22&gt;='Configuración'!$C$27,'Configuración'!$C$47,IF(K22&gt;='Configuración'!$C$28,'Configuración'!$C$48,'Configuración'!$C$49))))</f>
        <v/>
      </c>
      <c r="M22" s="62" t="n"/>
      <c r="N22" s="65">
        <f>IF(B22="","",IF(COUNTA(E22,F22,G22,H22)=4,"Sí","No"))</f>
        <v/>
      </c>
      <c r="O22" s="65">
        <f>IF(OR(B22="",M22='Configuración'!$C$45),"",IF(AND(ISNUMBER(F22),F22&lt;INDEX('Seguimiento semanal'!$C$6:$C$29,COUNT('Seguimiento semanal'!$E$6:$E$29))),"Sí","No"))</f>
        <v/>
      </c>
      <c r="P22" s="65">
        <f>IF(AND(M22='Configuración'!$C$44,ISNUMBER(K22)),K22+(100-ROW())/1000,0)</f>
        <v/>
      </c>
    </row>
    <row r="23" ht="30" customHeight="1">
      <c r="B23" s="62" t="n"/>
      <c r="C23" s="62" t="n"/>
      <c r="D23" s="63" t="n"/>
      <c r="E23" s="63" t="n"/>
      <c r="F23" s="64" t="n"/>
      <c r="G23" s="63" t="n"/>
      <c r="H23" s="63" t="n"/>
      <c r="I23" s="62" t="n"/>
      <c r="J23" s="62" t="n"/>
      <c r="K23" s="65">
        <f>IF(AND(ISNUMBER(I23),ISNUMBER(J23)),I23*J23,"")</f>
        <v/>
      </c>
      <c r="L23" s="66">
        <f>IF(K23="","",IF(K23&gt;='Configuración'!$C$26,'Configuración'!$C$46,IF(K23&gt;='Configuración'!$C$27,'Configuración'!$C$47,IF(K23&gt;='Configuración'!$C$28,'Configuración'!$C$48,'Configuración'!$C$49))))</f>
        <v/>
      </c>
      <c r="M23" s="62" t="n"/>
      <c r="N23" s="65">
        <f>IF(B23="","",IF(COUNTA(E23,F23,G23,H23)=4,"Sí","No"))</f>
        <v/>
      </c>
      <c r="O23" s="65">
        <f>IF(OR(B23="",M23='Configuración'!$C$45),"",IF(AND(ISNUMBER(F23),F23&lt;INDEX('Seguimiento semanal'!$C$6:$C$29,COUNT('Seguimiento semanal'!$E$6:$E$29))),"Sí","No"))</f>
        <v/>
      </c>
      <c r="P23" s="65">
        <f>IF(AND(M23='Configuración'!$C$44,ISNUMBER(K23)),K23+(100-ROW())/1000,0)</f>
        <v/>
      </c>
    </row>
    <row r="24" ht="30" customHeight="1">
      <c r="B24" s="62" t="n"/>
      <c r="C24" s="62" t="n"/>
      <c r="D24" s="63" t="n"/>
      <c r="E24" s="63" t="n"/>
      <c r="F24" s="64" t="n"/>
      <c r="G24" s="63" t="n"/>
      <c r="H24" s="63" t="n"/>
      <c r="I24" s="62" t="n"/>
      <c r="J24" s="62" t="n"/>
      <c r="K24" s="65">
        <f>IF(AND(ISNUMBER(I24),ISNUMBER(J24)),I24*J24,"")</f>
        <v/>
      </c>
      <c r="L24" s="66">
        <f>IF(K24="","",IF(K24&gt;='Configuración'!$C$26,'Configuración'!$C$46,IF(K24&gt;='Configuración'!$C$27,'Configuración'!$C$47,IF(K24&gt;='Configuración'!$C$28,'Configuración'!$C$48,'Configuración'!$C$49))))</f>
        <v/>
      </c>
      <c r="M24" s="62" t="n"/>
      <c r="N24" s="65">
        <f>IF(B24="","",IF(COUNTA(E24,F24,G24,H24)=4,"Sí","No"))</f>
        <v/>
      </c>
      <c r="O24" s="65">
        <f>IF(OR(B24="",M24='Configuración'!$C$45),"",IF(AND(ISNUMBER(F24),F24&lt;INDEX('Seguimiento semanal'!$C$6:$C$29,COUNT('Seguimiento semanal'!$E$6:$E$29))),"Sí","No"))</f>
        <v/>
      </c>
      <c r="P24" s="65">
        <f>IF(AND(M24='Configuración'!$C$44,ISNUMBER(K24)),K24+(100-ROW())/1000,0)</f>
        <v/>
      </c>
    </row>
    <row r="25" ht="30" customHeight="1">
      <c r="B25" s="62" t="n"/>
      <c r="C25" s="62" t="n"/>
      <c r="D25" s="63" t="n"/>
      <c r="E25" s="63" t="n"/>
      <c r="F25" s="64" t="n"/>
      <c r="G25" s="63" t="n"/>
      <c r="H25" s="63" t="n"/>
      <c r="I25" s="62" t="n"/>
      <c r="J25" s="62" t="n"/>
      <c r="K25" s="65">
        <f>IF(AND(ISNUMBER(I25),ISNUMBER(J25)),I25*J25,"")</f>
        <v/>
      </c>
      <c r="L25" s="66">
        <f>IF(K25="","",IF(K25&gt;='Configuración'!$C$26,'Configuración'!$C$46,IF(K25&gt;='Configuración'!$C$27,'Configuración'!$C$47,IF(K25&gt;='Configuración'!$C$28,'Configuración'!$C$48,'Configuración'!$C$49))))</f>
        <v/>
      </c>
      <c r="M25" s="62" t="n"/>
      <c r="N25" s="65">
        <f>IF(B25="","",IF(COUNTA(E25,F25,G25,H25)=4,"Sí","No"))</f>
        <v/>
      </c>
      <c r="O25" s="65">
        <f>IF(OR(B25="",M25='Configuración'!$C$45),"",IF(AND(ISNUMBER(F25),F25&lt;INDEX('Seguimiento semanal'!$C$6:$C$29,COUNT('Seguimiento semanal'!$E$6:$E$29))),"Sí","No"))</f>
        <v/>
      </c>
      <c r="P25" s="65">
        <f>IF(AND(M25='Configuración'!$C$44,ISNUMBER(K25)),K25+(100-ROW())/1000,0)</f>
        <v/>
      </c>
    </row>
    <row r="26" ht="30" customHeight="1">
      <c r="B26" s="62" t="n"/>
      <c r="C26" s="62" t="n"/>
      <c r="D26" s="63" t="n"/>
      <c r="E26" s="63" t="n"/>
      <c r="F26" s="64" t="n"/>
      <c r="G26" s="63" t="n"/>
      <c r="H26" s="63" t="n"/>
      <c r="I26" s="62" t="n"/>
      <c r="J26" s="62" t="n"/>
      <c r="K26" s="65">
        <f>IF(AND(ISNUMBER(I26),ISNUMBER(J26)),I26*J26,"")</f>
        <v/>
      </c>
      <c r="L26" s="66">
        <f>IF(K26="","",IF(K26&gt;='Configuración'!$C$26,'Configuración'!$C$46,IF(K26&gt;='Configuración'!$C$27,'Configuración'!$C$47,IF(K26&gt;='Configuración'!$C$28,'Configuración'!$C$48,'Configuración'!$C$49))))</f>
        <v/>
      </c>
      <c r="M26" s="62" t="n"/>
      <c r="N26" s="65">
        <f>IF(B26="","",IF(COUNTA(E26,F26,G26,H26)=4,"Sí","No"))</f>
        <v/>
      </c>
      <c r="O26" s="65">
        <f>IF(OR(B26="",M26='Configuración'!$C$45),"",IF(AND(ISNUMBER(F26),F26&lt;INDEX('Seguimiento semanal'!$C$6:$C$29,COUNT('Seguimiento semanal'!$E$6:$E$29))),"Sí","No"))</f>
        <v/>
      </c>
      <c r="P26" s="65">
        <f>IF(AND(M26='Configuración'!$C$44,ISNUMBER(K26)),K26+(100-ROW())/1000,0)</f>
        <v/>
      </c>
    </row>
    <row r="27" ht="30" customHeight="1">
      <c r="B27" s="62" t="n"/>
      <c r="C27" s="62" t="n"/>
      <c r="D27" s="63" t="n"/>
      <c r="E27" s="63" t="n"/>
      <c r="F27" s="64" t="n"/>
      <c r="G27" s="63" t="n"/>
      <c r="H27" s="63" t="n"/>
      <c r="I27" s="62" t="n"/>
      <c r="J27" s="62" t="n"/>
      <c r="K27" s="65">
        <f>IF(AND(ISNUMBER(I27),ISNUMBER(J27)),I27*J27,"")</f>
        <v/>
      </c>
      <c r="L27" s="66">
        <f>IF(K27="","",IF(K27&gt;='Configuración'!$C$26,'Configuración'!$C$46,IF(K27&gt;='Configuración'!$C$27,'Configuración'!$C$47,IF(K27&gt;='Configuración'!$C$28,'Configuración'!$C$48,'Configuración'!$C$49))))</f>
        <v/>
      </c>
      <c r="M27" s="62" t="n"/>
      <c r="N27" s="65">
        <f>IF(B27="","",IF(COUNTA(E27,F27,G27,H27)=4,"Sí","No"))</f>
        <v/>
      </c>
      <c r="O27" s="65">
        <f>IF(OR(B27="",M27='Configuración'!$C$45),"",IF(AND(ISNUMBER(F27),F27&lt;INDEX('Seguimiento semanal'!$C$6:$C$29,COUNT('Seguimiento semanal'!$E$6:$E$29))),"Sí","No"))</f>
        <v/>
      </c>
      <c r="P27" s="65">
        <f>IF(AND(M27='Configuración'!$C$44,ISNUMBER(K27)),K27+(100-ROW())/1000,0)</f>
        <v/>
      </c>
    </row>
    <row r="28" ht="30" customHeight="1">
      <c r="B28" s="62" t="n"/>
      <c r="C28" s="62" t="n"/>
      <c r="D28" s="63" t="n"/>
      <c r="E28" s="63" t="n"/>
      <c r="F28" s="64" t="n"/>
      <c r="G28" s="63" t="n"/>
      <c r="H28" s="63" t="n"/>
      <c r="I28" s="62" t="n"/>
      <c r="J28" s="62" t="n"/>
      <c r="K28" s="65">
        <f>IF(AND(ISNUMBER(I28),ISNUMBER(J28)),I28*J28,"")</f>
        <v/>
      </c>
      <c r="L28" s="66">
        <f>IF(K28="","",IF(K28&gt;='Configuración'!$C$26,'Configuración'!$C$46,IF(K28&gt;='Configuración'!$C$27,'Configuración'!$C$47,IF(K28&gt;='Configuración'!$C$28,'Configuración'!$C$48,'Configuración'!$C$49))))</f>
        <v/>
      </c>
      <c r="M28" s="62" t="n"/>
      <c r="N28" s="65">
        <f>IF(B28="","",IF(COUNTA(E28,F28,G28,H28)=4,"Sí","No"))</f>
        <v/>
      </c>
      <c r="O28" s="65">
        <f>IF(OR(B28="",M28='Configuración'!$C$45),"",IF(AND(ISNUMBER(F28),F28&lt;INDEX('Seguimiento semanal'!$C$6:$C$29,COUNT('Seguimiento semanal'!$E$6:$E$29))),"Sí","No"))</f>
        <v/>
      </c>
      <c r="P28" s="65">
        <f>IF(AND(M28='Configuración'!$C$44,ISNUMBER(K28)),K28+(100-ROW())/1000,0)</f>
        <v/>
      </c>
    </row>
    <row r="29" ht="30" customHeight="1">
      <c r="B29" s="62" t="n"/>
      <c r="C29" s="62" t="n"/>
      <c r="D29" s="63" t="n"/>
      <c r="E29" s="63" t="n"/>
      <c r="F29" s="64" t="n"/>
      <c r="G29" s="63" t="n"/>
      <c r="H29" s="63" t="n"/>
      <c r="I29" s="62" t="n"/>
      <c r="J29" s="62" t="n"/>
      <c r="K29" s="65">
        <f>IF(AND(ISNUMBER(I29),ISNUMBER(J29)),I29*J29,"")</f>
        <v/>
      </c>
      <c r="L29" s="66">
        <f>IF(K29="","",IF(K29&gt;='Configuración'!$C$26,'Configuración'!$C$46,IF(K29&gt;='Configuración'!$C$27,'Configuración'!$C$47,IF(K29&gt;='Configuración'!$C$28,'Configuración'!$C$48,'Configuración'!$C$49))))</f>
        <v/>
      </c>
      <c r="M29" s="62" t="n"/>
      <c r="N29" s="65">
        <f>IF(B29="","",IF(COUNTA(E29,F29,G29,H29)=4,"Sí","No"))</f>
        <v/>
      </c>
      <c r="O29" s="65">
        <f>IF(OR(B29="",M29='Configuración'!$C$45),"",IF(AND(ISNUMBER(F29),F29&lt;INDEX('Seguimiento semanal'!$C$6:$C$29,COUNT('Seguimiento semanal'!$E$6:$E$29))),"Sí","No"))</f>
        <v/>
      </c>
      <c r="P29" s="65">
        <f>IF(AND(M29='Configuración'!$C$44,ISNUMBER(K29)),K29+(100-ROW())/1000,0)</f>
        <v/>
      </c>
    </row>
    <row r="30" ht="30" customHeight="1">
      <c r="B30" s="62" t="n"/>
      <c r="C30" s="62" t="n"/>
      <c r="D30" s="63" t="n"/>
      <c r="E30" s="63" t="n"/>
      <c r="F30" s="64" t="n"/>
      <c r="G30" s="63" t="n"/>
      <c r="H30" s="63" t="n"/>
      <c r="I30" s="62" t="n"/>
      <c r="J30" s="62" t="n"/>
      <c r="K30" s="65">
        <f>IF(AND(ISNUMBER(I30),ISNUMBER(J30)),I30*J30,"")</f>
        <v/>
      </c>
      <c r="L30" s="66">
        <f>IF(K30="","",IF(K30&gt;='Configuración'!$C$26,'Configuración'!$C$46,IF(K30&gt;='Configuración'!$C$27,'Configuración'!$C$47,IF(K30&gt;='Configuración'!$C$28,'Configuración'!$C$48,'Configuración'!$C$49))))</f>
        <v/>
      </c>
      <c r="M30" s="62" t="n"/>
      <c r="N30" s="65">
        <f>IF(B30="","",IF(COUNTA(E30,F30,G30,H30)=4,"Sí","No"))</f>
        <v/>
      </c>
      <c r="O30" s="65">
        <f>IF(OR(B30="",M30='Configuración'!$C$45),"",IF(AND(ISNUMBER(F30),F30&lt;INDEX('Seguimiento semanal'!$C$6:$C$29,COUNT('Seguimiento semanal'!$E$6:$E$29))),"Sí","No"))</f>
        <v/>
      </c>
      <c r="P30" s="65">
        <f>IF(AND(M30='Configuración'!$C$44,ISNUMBER(K30)),K30+(100-ROW())/1000,0)</f>
        <v/>
      </c>
    </row>
    <row r="31" ht="30" customHeight="1">
      <c r="B31" s="62" t="n"/>
      <c r="C31" s="62" t="n"/>
      <c r="D31" s="63" t="n"/>
      <c r="E31" s="63" t="n"/>
      <c r="F31" s="64" t="n"/>
      <c r="G31" s="63" t="n"/>
      <c r="H31" s="63" t="n"/>
      <c r="I31" s="62" t="n"/>
      <c r="J31" s="62" t="n"/>
      <c r="K31" s="65">
        <f>IF(AND(ISNUMBER(I31),ISNUMBER(J31)),I31*J31,"")</f>
        <v/>
      </c>
      <c r="L31" s="66">
        <f>IF(K31="","",IF(K31&gt;='Configuración'!$C$26,'Configuración'!$C$46,IF(K31&gt;='Configuración'!$C$27,'Configuración'!$C$47,IF(K31&gt;='Configuración'!$C$28,'Configuración'!$C$48,'Configuración'!$C$49))))</f>
        <v/>
      </c>
      <c r="M31" s="62" t="n"/>
      <c r="N31" s="65">
        <f>IF(B31="","",IF(COUNTA(E31,F31,G31,H31)=4,"Sí","No"))</f>
        <v/>
      </c>
      <c r="O31" s="65">
        <f>IF(OR(B31="",M31='Configuración'!$C$45),"",IF(AND(ISNUMBER(F31),F31&lt;INDEX('Seguimiento semanal'!$C$6:$C$29,COUNT('Seguimiento semanal'!$E$6:$E$29))),"Sí","No"))</f>
        <v/>
      </c>
      <c r="P31" s="65">
        <f>IF(AND(M31='Configuración'!$C$44,ISNUMBER(K31)),K31+(100-ROW())/1000,0)</f>
        <v/>
      </c>
    </row>
    <row r="32" ht="30" customHeight="1">
      <c r="B32" s="62" t="n"/>
      <c r="C32" s="62" t="n"/>
      <c r="D32" s="63" t="n"/>
      <c r="E32" s="63" t="n"/>
      <c r="F32" s="64" t="n"/>
      <c r="G32" s="63" t="n"/>
      <c r="H32" s="63" t="n"/>
      <c r="I32" s="62" t="n"/>
      <c r="J32" s="62" t="n"/>
      <c r="K32" s="65">
        <f>IF(AND(ISNUMBER(I32),ISNUMBER(J32)),I32*J32,"")</f>
        <v/>
      </c>
      <c r="L32" s="66">
        <f>IF(K32="","",IF(K32&gt;='Configuración'!$C$26,'Configuración'!$C$46,IF(K32&gt;='Configuración'!$C$27,'Configuración'!$C$47,IF(K32&gt;='Configuración'!$C$28,'Configuración'!$C$48,'Configuración'!$C$49))))</f>
        <v/>
      </c>
      <c r="M32" s="62" t="n"/>
      <c r="N32" s="65">
        <f>IF(B32="","",IF(COUNTA(E32,F32,G32,H32)=4,"Sí","No"))</f>
        <v/>
      </c>
      <c r="O32" s="65">
        <f>IF(OR(B32="",M32='Configuración'!$C$45),"",IF(AND(ISNUMBER(F32),F32&lt;INDEX('Seguimiento semanal'!$C$6:$C$29,COUNT('Seguimiento semanal'!$E$6:$E$29))),"Sí","No"))</f>
        <v/>
      </c>
      <c r="P32" s="65">
        <f>IF(AND(M32='Configuración'!$C$44,ISNUMBER(K32)),K32+(100-ROW())/1000,0)</f>
        <v/>
      </c>
    </row>
    <row r="33" ht="30" customHeight="1">
      <c r="B33" s="62" t="n"/>
      <c r="C33" s="62" t="n"/>
      <c r="D33" s="63" t="n"/>
      <c r="E33" s="63" t="n"/>
      <c r="F33" s="64" t="n"/>
      <c r="G33" s="63" t="n"/>
      <c r="H33" s="63" t="n"/>
      <c r="I33" s="62" t="n"/>
      <c r="J33" s="62" t="n"/>
      <c r="K33" s="65">
        <f>IF(AND(ISNUMBER(I33),ISNUMBER(J33)),I33*J33,"")</f>
        <v/>
      </c>
      <c r="L33" s="66">
        <f>IF(K33="","",IF(K33&gt;='Configuración'!$C$26,'Configuración'!$C$46,IF(K33&gt;='Configuración'!$C$27,'Configuración'!$C$47,IF(K33&gt;='Configuración'!$C$28,'Configuración'!$C$48,'Configuración'!$C$49))))</f>
        <v/>
      </c>
      <c r="M33" s="62" t="n"/>
      <c r="N33" s="65">
        <f>IF(B33="","",IF(COUNTA(E33,F33,G33,H33)=4,"Sí","No"))</f>
        <v/>
      </c>
      <c r="O33" s="65">
        <f>IF(OR(B33="",M33='Configuración'!$C$45),"",IF(AND(ISNUMBER(F33),F33&lt;INDEX('Seguimiento semanal'!$C$6:$C$29,COUNT('Seguimiento semanal'!$E$6:$E$29))),"Sí","No"))</f>
        <v/>
      </c>
      <c r="P33" s="65">
        <f>IF(AND(M33='Configuración'!$C$44,ISNUMBER(K33)),K33+(100-ROW())/1000,0)</f>
        <v/>
      </c>
    </row>
    <row r="34" ht="30" customHeight="1">
      <c r="B34" s="62" t="n"/>
      <c r="C34" s="62" t="n"/>
      <c r="D34" s="63" t="n"/>
      <c r="E34" s="63" t="n"/>
      <c r="F34" s="64" t="n"/>
      <c r="G34" s="63" t="n"/>
      <c r="H34" s="63" t="n"/>
      <c r="I34" s="62" t="n"/>
      <c r="J34" s="62" t="n"/>
      <c r="K34" s="65">
        <f>IF(AND(ISNUMBER(I34),ISNUMBER(J34)),I34*J34,"")</f>
        <v/>
      </c>
      <c r="L34" s="66">
        <f>IF(K34="","",IF(K34&gt;='Configuración'!$C$26,'Configuración'!$C$46,IF(K34&gt;='Configuración'!$C$27,'Configuración'!$C$47,IF(K34&gt;='Configuración'!$C$28,'Configuración'!$C$48,'Configuración'!$C$49))))</f>
        <v/>
      </c>
      <c r="M34" s="62" t="n"/>
      <c r="N34" s="65">
        <f>IF(B34="","",IF(COUNTA(E34,F34,G34,H34)=4,"Sí","No"))</f>
        <v/>
      </c>
      <c r="O34" s="65">
        <f>IF(OR(B34="",M34='Configuración'!$C$45),"",IF(AND(ISNUMBER(F34),F34&lt;INDEX('Seguimiento semanal'!$C$6:$C$29,COUNT('Seguimiento semanal'!$E$6:$E$29))),"Sí","No"))</f>
        <v/>
      </c>
      <c r="P34" s="65">
        <f>IF(AND(M34='Configuración'!$C$44,ISNUMBER(K34)),K34+(100-ROW())/1000,0)</f>
        <v/>
      </c>
    </row>
    <row r="35" ht="30" customHeight="1">
      <c r="B35" s="62" t="n"/>
      <c r="C35" s="62" t="n"/>
      <c r="D35" s="63" t="n"/>
      <c r="E35" s="63" t="n"/>
      <c r="F35" s="64" t="n"/>
      <c r="G35" s="63" t="n"/>
      <c r="H35" s="63" t="n"/>
      <c r="I35" s="62" t="n"/>
      <c r="J35" s="62" t="n"/>
      <c r="K35" s="65">
        <f>IF(AND(ISNUMBER(I35),ISNUMBER(J35)),I35*J35,"")</f>
        <v/>
      </c>
      <c r="L35" s="66">
        <f>IF(K35="","",IF(K35&gt;='Configuración'!$C$26,'Configuración'!$C$46,IF(K35&gt;='Configuración'!$C$27,'Configuración'!$C$47,IF(K35&gt;='Configuración'!$C$28,'Configuración'!$C$48,'Configuración'!$C$49))))</f>
        <v/>
      </c>
      <c r="M35" s="62" t="n"/>
      <c r="N35" s="65">
        <f>IF(B35="","",IF(COUNTA(E35,F35,G35,H35)=4,"Sí","No"))</f>
        <v/>
      </c>
      <c r="O35" s="65">
        <f>IF(OR(B35="",M35='Configuración'!$C$45),"",IF(AND(ISNUMBER(F35),F35&lt;INDEX('Seguimiento semanal'!$C$6:$C$29,COUNT('Seguimiento semanal'!$E$6:$E$29))),"Sí","No"))</f>
        <v/>
      </c>
      <c r="P35" s="65">
        <f>IF(AND(M35='Configuración'!$C$44,ISNUMBER(K35)),K35+(100-ROW())/1000,0)</f>
        <v/>
      </c>
    </row>
    <row r="37">
      <c r="B37" s="30" t="inlineStr">
        <is>
          <t>© Carlos Alberto Ruiz Brito · 05/10/2026 · Delivery con Charly Brito · carlosruizbrito.com · Licencia CC BY 4.0 (uso y adaptación citando al autor)</t>
        </is>
      </c>
    </row>
  </sheetData>
  <conditionalFormatting sqref="K6:K35">
    <cfRule type="colorScale" priority="1">
      <colorScale>
        <cfvo type="num" val="1"/>
        <cfvo type="num" val="8"/>
        <cfvo type="num" val="25"/>
        <color rgb="00FFFFFF"/>
        <color rgb="00FFE08A"/>
        <color rgb="00E8746B"/>
      </colorScale>
    </cfRule>
  </conditionalFormatting>
  <conditionalFormatting sqref="L6:L35">
    <cfRule type="cellIs" priority="2" operator="equal" dxfId="2">
      <formula>'Configuración'!$C$46</formula>
    </cfRule>
    <cfRule type="cellIs" priority="3" operator="equal" dxfId="10">
      <formula>'Configuración'!$C$47</formula>
    </cfRule>
    <cfRule type="cellIs" priority="4" operator="equal" dxfId="1">
      <formula>'Configuración'!$C$48</formula>
    </cfRule>
    <cfRule type="cellIs" priority="5" operator="equal" dxfId="0">
      <formula>'Configuración'!$C$49</formula>
    </cfRule>
  </conditionalFormatting>
  <conditionalFormatting sqref="N6:N35">
    <cfRule type="cellIs" priority="6" operator="equal" dxfId="2">
      <formula>"No"</formula>
    </cfRule>
  </conditionalFormatting>
  <conditionalFormatting sqref="O6:O35">
    <cfRule type="cellIs" priority="7" operator="equal" dxfId="2">
      <formula>"Sí"</formula>
    </cfRule>
  </conditionalFormatting>
  <conditionalFormatting sqref="B6:O35">
    <cfRule type="expression" priority="8" dxfId="14">
      <formula>$M6='Configuración'!$C$45</formula>
    </cfRule>
  </conditionalFormatting>
  <dataValidations count="3">
    <dataValidation sqref="C6 C7 C8 C9 C10 C11 C12 C13 C14 C15 C16 C17 C18 C19 C20 C21 C22 C23 C24 C25 C26 C27 C28 C29 C30 C31 C32 C33 C34 C35" showDropDown="0" showInputMessage="0" showErrorMessage="0" allowBlank="1" type="list">
      <formula1>'Configuración'!$C$42:$C$43</formula1>
    </dataValidation>
    <dataValidation sqref="M6 M7 M8 M9 M10 M11 M12 M13 M14 M15 M16 M17 M18 M19 M20 M21 M22 M23 M24 M25 M26 M27 M28 M29 M30 M31 M32 M33 M34 M35" showDropDown="0" showInputMessage="0" showErrorMessage="0" allowBlank="1" type="list">
      <formula1>'Configuración'!$C$44:$C$45</formula1>
    </dataValidation>
    <dataValidation sqref="I6 I7 I8 I9 I10 I11 I12 I13 I14 I15 I16 I17 I18 I19 I20 I21 I22 I23 I24 I25 I26 I27 I28 I29 I30 I31 I32 I33 I34 I35 J6 J7 J8 J9 J10 J11 J12 J13 J14 J15 J16 J17 J18 J19 J20 J21 J22 J23 J24 J25 J26 J27 J28 J29 J30 J31 J32 J33 J34 J35" showDropDown="0" showInputMessage="0" showErrorMessage="0" allowBlank="1" type="whole" operator="between">
      <formula1>1</formula1>
      <formula2>5</formula2>
    </dataValidation>
  </dataValidations>
  <pageMargins left="0.4" right="0.4" top="0.5" bottom="0.6" header="0.5" footer="0.5"/>
  <pageSetup orientation="landscape" paperSize="1" fitToHeight="0" fitToWidth="1"/>
  <headerFooter>
    <oddHeader/>
    <oddFooter>&amp;C&amp;"Arial,Italic"&amp;8© Carlos Alberto Ruiz Brito · 05/10/2026 · Delivery con Charly Brito · carlosruizbrito.com · CC BY 4.0</oddFooter>
    <evenHeader/>
    <evenFooter>&amp;C&amp;"Arial,Italic"&amp;8© Carlos Alberto Ruiz Brito · 05/10/2026 · Delivery con Charly Brito · carlosruizbrito.com · CC BY 4.0</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Carlos Alberto Ruiz Brito</dc:creator>
  <dc:title xmlns:dc="http://purl.org/dc/elements/1.1/">Tablero Ejecutivo de Delivery</dc:title>
  <dcterms:created xmlns:dcterms="http://purl.org/dc/terms/" xmlns:xsi="http://www.w3.org/2001/XMLSchema-instance" xsi:type="dcterms:W3CDTF">2026-10-05T18:16:38Z</dcterms:created>
  <dcterms:modified xmlns:dcterms="http://purl.org/dc/terms/" xmlns:xsi="http://www.w3.org/2001/XMLSchema-instance" xsi:type="dcterms:W3CDTF">2026-10-05T18:16:38Z</dcterms:modified>
</cp:coreProperties>
</file>